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ЦяКнига"/>
  <workbookProtection workbookPassword="F86B" lockStructure="1"/>
  <bookViews>
    <workbookView xWindow="0" yWindow="0" windowWidth="16605" windowHeight="9435" tabRatio="896" firstSheet="2" activeTab="3"/>
  </bookViews>
  <sheets>
    <sheet name="ранжув" sheetId="88" state="hidden" r:id="rId1"/>
    <sheet name="Hidden" sheetId="102" state="hidden" r:id="rId2"/>
    <sheet name="Валідація" sheetId="75" r:id="rId3"/>
    <sheet name="Звіт 1,2,3" sheetId="38" r:id="rId4"/>
    <sheet name="Звіт   4,5,6" sheetId="40" r:id="rId5"/>
    <sheet name="Звіт  7,8" sheetId="42" r:id="rId6"/>
    <sheet name="Звіт   9" sheetId="47" r:id="rId7"/>
    <sheet name="Звіт Пацієнт " sheetId="103" r:id="rId8"/>
    <sheet name="Звіт 10, 11,12,13,14" sheetId="74" r:id="rId9"/>
    <sheet name="Дод_Надходж ПМГ " sheetId="15" r:id="rId10"/>
    <sheet name="Дод_Доходи ПМГ " sheetId="17" r:id="rId11"/>
    <sheet name="Аналіз" sheetId="90" r:id="rId12"/>
    <sheet name="ТБД 4,5, кров" sheetId="92" state="hidden" r:id="rId13"/>
    <sheet name="ТБД ФОП" sheetId="101" state="hidden" r:id="rId14"/>
    <sheet name="ТБД 12,13" sheetId="86" state="hidden" r:id="rId15"/>
    <sheet name="ТБД ФР" sheetId="83" state="hidden" r:id="rId16"/>
  </sheets>
  <definedNames>
    <definedName name="_xlnm._FilterDatabase" localSheetId="15" hidden="1">'ТБД ФР'!$A$3:$H$3</definedName>
    <definedName name="_xlnm.Print_Titles" localSheetId="10">'Дод_Доходи ПМГ '!$5:$8</definedName>
    <definedName name="_xlnm.Print_Titles" localSheetId="9">'Дод_Надходж ПМГ '!$5:$7</definedName>
    <definedName name="_xlnm.Print_Area" localSheetId="10">'Дод_Доходи ПМГ '!$A$1:$Y$50</definedName>
  </definedNames>
  <calcPr calcId="145621" fullCalcOnLoad="1" fullPrecision="0"/>
</workbook>
</file>

<file path=xl/calcChain.xml><?xml version="1.0" encoding="utf-8"?>
<calcChain xmlns="http://schemas.openxmlformats.org/spreadsheetml/2006/main">
  <c r="H11" i="40" l="1"/>
  <c r="E24" i="17"/>
  <c r="G76" i="40"/>
  <c r="I64" i="47"/>
  <c r="K19" i="38"/>
  <c r="H17" i="40"/>
  <c r="G43" i="40"/>
  <c r="J19" i="38"/>
  <c r="I65" i="47"/>
  <c r="K65" i="47"/>
  <c r="I60" i="47"/>
  <c r="I44" i="47"/>
  <c r="H65" i="47"/>
  <c r="H64" i="47"/>
  <c r="I40" i="47"/>
  <c r="I52" i="47"/>
  <c r="I43" i="47"/>
  <c r="H22" i="40"/>
  <c r="G94" i="40"/>
  <c r="K64" i="47"/>
  <c r="E60" i="47"/>
  <c r="E62" i="47"/>
  <c r="E61" i="47"/>
  <c r="E19" i="47"/>
  <c r="H19" i="47" s="1"/>
  <c r="E18" i="47"/>
  <c r="H27" i="40"/>
  <c r="H60" i="75"/>
  <c r="G71" i="74"/>
  <c r="G72" i="74"/>
  <c r="K72" i="74" s="1"/>
  <c r="K69" i="75" s="1"/>
  <c r="V22" i="74"/>
  <c r="AF22" i="74"/>
  <c r="I97" i="47"/>
  <c r="I98" i="47"/>
  <c r="K98" i="47" s="1"/>
  <c r="I61" i="47"/>
  <c r="G69" i="74"/>
  <c r="H28" i="40"/>
  <c r="H62" i="75" s="1"/>
  <c r="T22" i="74"/>
  <c r="K97" i="74" s="1"/>
  <c r="F97" i="74"/>
  <c r="H77" i="47"/>
  <c r="I31" i="75"/>
  <c r="E7" i="83"/>
  <c r="D7" i="83"/>
  <c r="E8" i="83"/>
  <c r="D8" i="83"/>
  <c r="D14" i="83"/>
  <c r="D16" i="83"/>
  <c r="F39" i="83"/>
  <c r="E39" i="83"/>
  <c r="D40" i="83"/>
  <c r="D39" i="83"/>
  <c r="B89" i="83"/>
  <c r="B90" i="83"/>
  <c r="B91" i="83"/>
  <c r="C5" i="86"/>
  <c r="B9" i="86"/>
  <c r="B5" i="86"/>
  <c r="C4" i="86"/>
  <c r="B4" i="86"/>
  <c r="F14" i="42"/>
  <c r="H73" i="47"/>
  <c r="H92" i="75" s="1"/>
  <c r="K73" i="47"/>
  <c r="H60" i="47"/>
  <c r="K60" i="47"/>
  <c r="H61" i="47"/>
  <c r="M69" i="74"/>
  <c r="K61" i="47"/>
  <c r="I72" i="75"/>
  <c r="H58" i="47"/>
  <c r="K58" i="47"/>
  <c r="H16" i="47"/>
  <c r="K16" i="47"/>
  <c r="G13" i="42"/>
  <c r="G62" i="40"/>
  <c r="O21" i="38"/>
  <c r="M27" i="74"/>
  <c r="H16" i="40"/>
  <c r="E46" i="47"/>
  <c r="E43" i="47"/>
  <c r="F43" i="47"/>
  <c r="G43" i="47"/>
  <c r="F46" i="47"/>
  <c r="G46" i="47"/>
  <c r="G49" i="38"/>
  <c r="G48" i="38"/>
  <c r="E20" i="103"/>
  <c r="H30" i="38"/>
  <c r="G26" i="103"/>
  <c r="L53" i="103"/>
  <c r="AH22" i="74"/>
  <c r="AH14" i="74"/>
  <c r="J76" i="47"/>
  <c r="I76" i="47"/>
  <c r="K76" i="47"/>
  <c r="G76" i="47"/>
  <c r="F76" i="47"/>
  <c r="J46" i="47"/>
  <c r="I46" i="47"/>
  <c r="L52" i="103"/>
  <c r="K92" i="47"/>
  <c r="D91" i="83" s="1"/>
  <c r="I53" i="103"/>
  <c r="I52" i="103"/>
  <c r="H91" i="47"/>
  <c r="E53" i="103"/>
  <c r="E52" i="103"/>
  <c r="M77" i="74"/>
  <c r="C9" i="86"/>
  <c r="P26" i="103"/>
  <c r="P25" i="103"/>
  <c r="H19" i="40" s="1"/>
  <c r="O93" i="40"/>
  <c r="O77" i="40"/>
  <c r="O78" i="40"/>
  <c r="O79" i="40"/>
  <c r="O80" i="40"/>
  <c r="O81" i="40"/>
  <c r="O82" i="40"/>
  <c r="O83" i="40"/>
  <c r="O84" i="40"/>
  <c r="O85" i="40"/>
  <c r="O86" i="40"/>
  <c r="O87" i="40"/>
  <c r="O88" i="40"/>
  <c r="O89" i="40"/>
  <c r="O90" i="40"/>
  <c r="O91" i="40"/>
  <c r="O76" i="40"/>
  <c r="O72" i="40"/>
  <c r="O71" i="40"/>
  <c r="O64" i="40"/>
  <c r="O65" i="40"/>
  <c r="O66" i="40"/>
  <c r="O67" i="40"/>
  <c r="O68" i="40"/>
  <c r="O63" i="40"/>
  <c r="P24" i="103"/>
  <c r="Q49" i="40"/>
  <c r="Q50" i="40"/>
  <c r="Q51" i="40"/>
  <c r="Q52" i="40"/>
  <c r="Q53" i="40"/>
  <c r="Q54" i="40"/>
  <c r="Q55" i="40"/>
  <c r="Q56" i="40"/>
  <c r="Q57" i="40"/>
  <c r="Q58" i="40"/>
  <c r="Q59" i="40"/>
  <c r="Q60" i="40"/>
  <c r="Q61" i="40"/>
  <c r="Q69" i="40"/>
  <c r="Q73" i="40"/>
  <c r="Q74" i="40"/>
  <c r="Q48" i="40"/>
  <c r="O48" i="40"/>
  <c r="O43" i="40"/>
  <c r="M48" i="38"/>
  <c r="H23" i="103"/>
  <c r="G23" i="103"/>
  <c r="F28" i="103"/>
  <c r="O32" i="38"/>
  <c r="M32" i="38" s="1"/>
  <c r="E28" i="103"/>
  <c r="F29" i="103"/>
  <c r="O33" i="38"/>
  <c r="M33" i="38" s="1"/>
  <c r="F30" i="103"/>
  <c r="O34" i="38" s="1"/>
  <c r="M34" i="38" s="1"/>
  <c r="F31" i="103"/>
  <c r="F32" i="103"/>
  <c r="O36" i="38"/>
  <c r="M36" i="38" s="1"/>
  <c r="E32" i="103"/>
  <c r="F33" i="103"/>
  <c r="O37" i="38"/>
  <c r="M37" i="38" s="1"/>
  <c r="F34" i="103"/>
  <c r="E34" i="103" s="1"/>
  <c r="F35" i="103"/>
  <c r="O39" i="38" s="1"/>
  <c r="M39" i="38" s="1"/>
  <c r="F36" i="103"/>
  <c r="O40" i="38"/>
  <c r="M40" i="38" s="1"/>
  <c r="G40" i="38" s="1"/>
  <c r="E36" i="103"/>
  <c r="F37" i="103"/>
  <c r="O41" i="38"/>
  <c r="M41" i="38" s="1"/>
  <c r="G41" i="38" s="1"/>
  <c r="F38" i="103"/>
  <c r="O42" i="38" s="1"/>
  <c r="M42" i="38" s="1"/>
  <c r="F39" i="103"/>
  <c r="O43" i="38" s="1"/>
  <c r="M43" i="38" s="1"/>
  <c r="F40" i="103"/>
  <c r="O44" i="38"/>
  <c r="M44" i="38" s="1"/>
  <c r="E40" i="103"/>
  <c r="F41" i="103"/>
  <c r="O45" i="38"/>
  <c r="M45" i="38" s="1"/>
  <c r="F42" i="103"/>
  <c r="E42" i="103" s="1"/>
  <c r="F43" i="103"/>
  <c r="O47" i="38" s="1"/>
  <c r="M47" i="38" s="1"/>
  <c r="G47" i="38" s="1"/>
  <c r="F27" i="103"/>
  <c r="F26" i="103"/>
  <c r="O31" i="38"/>
  <c r="J26" i="103"/>
  <c r="J25" i="103" s="1"/>
  <c r="I26" i="103"/>
  <c r="I25" i="103" s="1"/>
  <c r="H26" i="103"/>
  <c r="H25" i="103" s="1"/>
  <c r="R32" i="38"/>
  <c r="P32" i="38" s="1"/>
  <c r="R33" i="38"/>
  <c r="P33" i="38" s="1"/>
  <c r="P26" i="90" s="1"/>
  <c r="R34" i="38"/>
  <c r="P34" i="38"/>
  <c r="P27" i="90" s="1"/>
  <c r="R35" i="38"/>
  <c r="P35" i="38" s="1"/>
  <c r="P28" i="90" s="1"/>
  <c r="R36" i="38"/>
  <c r="P36" i="38"/>
  <c r="R37" i="38"/>
  <c r="P37" i="38"/>
  <c r="R38" i="38"/>
  <c r="P38" i="38"/>
  <c r="P31" i="90" s="1"/>
  <c r="R39" i="38"/>
  <c r="P39" i="38" s="1"/>
  <c r="R40" i="38"/>
  <c r="P40" i="38" s="1"/>
  <c r="R41" i="38"/>
  <c r="P41" i="38"/>
  <c r="R42" i="38"/>
  <c r="P42" i="38" s="1"/>
  <c r="R43" i="38"/>
  <c r="P43" i="38" s="1"/>
  <c r="R44" i="38"/>
  <c r="P44" i="38" s="1"/>
  <c r="R45" i="38"/>
  <c r="P45" i="38" s="1"/>
  <c r="R46" i="38"/>
  <c r="P46" i="38" s="1"/>
  <c r="R47" i="38"/>
  <c r="P47" i="38" s="1"/>
  <c r="R31" i="38"/>
  <c r="R30" i="38"/>
  <c r="R29" i="38" s="1"/>
  <c r="M21" i="38"/>
  <c r="R21" i="38"/>
  <c r="P21" i="38"/>
  <c r="P20" i="38"/>
  <c r="P19" i="38" s="1"/>
  <c r="M20" i="38"/>
  <c r="M19" i="38"/>
  <c r="J29" i="74"/>
  <c r="I29" i="74"/>
  <c r="I77" i="74"/>
  <c r="W32" i="74"/>
  <c r="AF27" i="74"/>
  <c r="AF28" i="74"/>
  <c r="I34" i="75"/>
  <c r="P34" i="75"/>
  <c r="Y19" i="38"/>
  <c r="V19" i="38"/>
  <c r="T19" i="38" s="1"/>
  <c r="D12" i="83" s="1"/>
  <c r="A3" i="103"/>
  <c r="V20" i="38"/>
  <c r="H1" i="103"/>
  <c r="F1" i="103"/>
  <c r="E1" i="103"/>
  <c r="A1" i="103"/>
  <c r="O19" i="38"/>
  <c r="O44" i="40"/>
  <c r="O45" i="40"/>
  <c r="F23" i="40"/>
  <c r="F78" i="47"/>
  <c r="G74" i="47"/>
  <c r="G78" i="47" s="1"/>
  <c r="I78" i="47"/>
  <c r="J74" i="47"/>
  <c r="H75" i="47"/>
  <c r="K75" i="47"/>
  <c r="K74" i="47"/>
  <c r="E27" i="103"/>
  <c r="B57" i="88"/>
  <c r="C57" i="88"/>
  <c r="C49" i="88"/>
  <c r="C48" i="88"/>
  <c r="C46" i="88"/>
  <c r="C47" i="88"/>
  <c r="C45" i="88"/>
  <c r="C44" i="88"/>
  <c r="C43" i="88"/>
  <c r="C42" i="88"/>
  <c r="C41" i="88"/>
  <c r="C40" i="88"/>
  <c r="C17" i="88"/>
  <c r="C16" i="88"/>
  <c r="C15" i="88"/>
  <c r="C14" i="88"/>
  <c r="C13" i="88"/>
  <c r="C12" i="88"/>
  <c r="C11" i="88"/>
  <c r="C38" i="88"/>
  <c r="C37" i="88"/>
  <c r="C36" i="88"/>
  <c r="C35" i="88"/>
  <c r="C34" i="88"/>
  <c r="C29" i="88"/>
  <c r="C28" i="88"/>
  <c r="C22" i="88"/>
  <c r="C21" i="88"/>
  <c r="C20" i="88"/>
  <c r="C19" i="88"/>
  <c r="C26" i="88"/>
  <c r="C25" i="88"/>
  <c r="C24" i="88"/>
  <c r="C9" i="88"/>
  <c r="C23" i="88"/>
  <c r="C8" i="88"/>
  <c r="C7" i="88"/>
  <c r="C5" i="88"/>
  <c r="C4" i="88"/>
  <c r="M27" i="38"/>
  <c r="N30" i="38"/>
  <c r="N29" i="38" s="1"/>
  <c r="N19" i="38"/>
  <c r="Q30" i="38"/>
  <c r="Q29" i="38"/>
  <c r="P31" i="38"/>
  <c r="R27" i="38"/>
  <c r="Q19" i="38"/>
  <c r="U4" i="101"/>
  <c r="M2" i="101"/>
  <c r="N2" i="101"/>
  <c r="O2" i="101"/>
  <c r="P2" i="101"/>
  <c r="Q2" i="101"/>
  <c r="R2" i="101"/>
  <c r="L2" i="101"/>
  <c r="F4" i="101"/>
  <c r="X4" i="101"/>
  <c r="G4" i="101"/>
  <c r="Y4" i="101"/>
  <c r="H4" i="101"/>
  <c r="I4" i="101"/>
  <c r="J4" i="101"/>
  <c r="Z4" i="101"/>
  <c r="AA4" i="101"/>
  <c r="F5" i="101"/>
  <c r="X5" i="101"/>
  <c r="G5" i="101" s="1"/>
  <c r="Y5" i="101"/>
  <c r="H5" i="101"/>
  <c r="I5" i="101"/>
  <c r="J5" i="101"/>
  <c r="Z5" i="101"/>
  <c r="AA5" i="101"/>
  <c r="K5" i="101"/>
  <c r="U5" i="101"/>
  <c r="F6" i="101"/>
  <c r="X6" i="101"/>
  <c r="Y6" i="101"/>
  <c r="G6" i="101" s="1"/>
  <c r="H6" i="101"/>
  <c r="I6" i="101"/>
  <c r="J6" i="101"/>
  <c r="Z6" i="101"/>
  <c r="AA6" i="101"/>
  <c r="U6" i="101"/>
  <c r="F13" i="101"/>
  <c r="F8" i="101"/>
  <c r="F14" i="101"/>
  <c r="F9" i="101"/>
  <c r="F15" i="101"/>
  <c r="F10" i="101"/>
  <c r="F16" i="101"/>
  <c r="F11" i="101"/>
  <c r="G13" i="101"/>
  <c r="G8" i="101"/>
  <c r="G14" i="101"/>
  <c r="G9" i="101"/>
  <c r="G15" i="101"/>
  <c r="G10" i="101"/>
  <c r="G16" i="101"/>
  <c r="G11" i="101"/>
  <c r="H13" i="101"/>
  <c r="H8" i="101"/>
  <c r="H14" i="101"/>
  <c r="H9" i="101"/>
  <c r="H15" i="101"/>
  <c r="H10" i="101"/>
  <c r="H16" i="101"/>
  <c r="H11" i="101"/>
  <c r="I13" i="101"/>
  <c r="I8" i="101"/>
  <c r="I14" i="101"/>
  <c r="I9" i="101"/>
  <c r="I15" i="101"/>
  <c r="I10" i="101"/>
  <c r="I16" i="101"/>
  <c r="I11" i="101"/>
  <c r="J13" i="101"/>
  <c r="J8" i="101"/>
  <c r="J14" i="101"/>
  <c r="J9" i="101"/>
  <c r="J15" i="101"/>
  <c r="J10" i="101"/>
  <c r="J16" i="101"/>
  <c r="J11" i="101"/>
  <c r="K13" i="101"/>
  <c r="K8" i="101"/>
  <c r="K14" i="101"/>
  <c r="K9" i="101"/>
  <c r="K15" i="101"/>
  <c r="K10" i="101"/>
  <c r="K16" i="101"/>
  <c r="K11" i="101"/>
  <c r="P92" i="40"/>
  <c r="P62" i="40"/>
  <c r="O94" i="40"/>
  <c r="O95" i="40"/>
  <c r="P75" i="40"/>
  <c r="P70" i="40"/>
  <c r="P47" i="40"/>
  <c r="P46" i="40"/>
  <c r="P42" i="40" s="1"/>
  <c r="Q47" i="40"/>
  <c r="Q46" i="40" s="1"/>
  <c r="O73" i="40"/>
  <c r="E73" i="40"/>
  <c r="O69" i="40"/>
  <c r="F62" i="83"/>
  <c r="O49" i="40"/>
  <c r="O50" i="40"/>
  <c r="O51" i="40"/>
  <c r="O52" i="40"/>
  <c r="E52" i="40"/>
  <c r="O53" i="40"/>
  <c r="O54" i="40"/>
  <c r="E54" i="40" s="1"/>
  <c r="O55" i="40"/>
  <c r="O56" i="40"/>
  <c r="O57" i="40"/>
  <c r="O58" i="40"/>
  <c r="F59" i="83"/>
  <c r="O59" i="40"/>
  <c r="O60" i="40"/>
  <c r="O61" i="40"/>
  <c r="U20" i="38"/>
  <c r="X20" i="38"/>
  <c r="Y20" i="38"/>
  <c r="G25" i="103"/>
  <c r="K6" i="101"/>
  <c r="K4" i="101"/>
  <c r="X23" i="38"/>
  <c r="X24" i="38"/>
  <c r="U24" i="38"/>
  <c r="M18" i="103" s="1"/>
  <c r="X22" i="38"/>
  <c r="W19" i="38"/>
  <c r="D13" i="83"/>
  <c r="U84" i="75"/>
  <c r="H23" i="40"/>
  <c r="D44" i="83" s="1"/>
  <c r="H47" i="47"/>
  <c r="K47" i="47"/>
  <c r="Y83" i="75"/>
  <c r="X83" i="75"/>
  <c r="H46" i="47"/>
  <c r="Y24" i="38" s="1"/>
  <c r="K46" i="47"/>
  <c r="J43" i="47"/>
  <c r="H44" i="47"/>
  <c r="H43" i="47"/>
  <c r="H45" i="47"/>
  <c r="K45" i="47"/>
  <c r="E1" i="75"/>
  <c r="E15" i="42"/>
  <c r="G12" i="101" s="1"/>
  <c r="E16" i="42"/>
  <c r="H12" i="101" s="1"/>
  <c r="E17" i="42"/>
  <c r="I12" i="101" s="1"/>
  <c r="E18" i="42"/>
  <c r="J12" i="101" s="1"/>
  <c r="E19" i="42"/>
  <c r="K12" i="101" s="1"/>
  <c r="E14" i="42"/>
  <c r="F12" i="101" s="1"/>
  <c r="F15" i="42"/>
  <c r="G7" i="101" s="1"/>
  <c r="N4" i="101" s="1"/>
  <c r="F16" i="42"/>
  <c r="H7" i="101"/>
  <c r="O4" i="101" s="1"/>
  <c r="F17" i="42"/>
  <c r="H125" i="75" s="1"/>
  <c r="F18" i="42"/>
  <c r="J7" i="101" s="1"/>
  <c r="Q4" i="101" s="1"/>
  <c r="F19" i="42"/>
  <c r="K7" i="101"/>
  <c r="R4" i="101" s="1"/>
  <c r="F7" i="101"/>
  <c r="M4" i="101" s="1"/>
  <c r="AB91" i="75"/>
  <c r="AA91" i="75"/>
  <c r="M94" i="75"/>
  <c r="K35" i="47"/>
  <c r="S34" i="75"/>
  <c r="H35" i="47"/>
  <c r="R34" i="75"/>
  <c r="L6" i="74"/>
  <c r="K97" i="75"/>
  <c r="U3" i="92"/>
  <c r="V3" i="92"/>
  <c r="W3" i="92"/>
  <c r="X3" i="92"/>
  <c r="Q4" i="92"/>
  <c r="R4" i="92"/>
  <c r="T4" i="92"/>
  <c r="V4" i="92"/>
  <c r="X4" i="92"/>
  <c r="G64" i="88"/>
  <c r="D64" i="88"/>
  <c r="D61" i="88"/>
  <c r="D62" i="88"/>
  <c r="D63" i="88"/>
  <c r="D58" i="88"/>
  <c r="D59" i="88"/>
  <c r="D60" i="88"/>
  <c r="D57" i="88"/>
  <c r="H95" i="47"/>
  <c r="T34" i="75"/>
  <c r="K95" i="47"/>
  <c r="U34" i="75"/>
  <c r="E52" i="47"/>
  <c r="H29" i="38"/>
  <c r="E19" i="83" s="1"/>
  <c r="L63" i="47"/>
  <c r="G86" i="74"/>
  <c r="J15" i="75"/>
  <c r="H28" i="90"/>
  <c r="K47" i="40"/>
  <c r="H14" i="47"/>
  <c r="K56" i="47"/>
  <c r="K55" i="47"/>
  <c r="H56" i="47"/>
  <c r="H55" i="47"/>
  <c r="K14" i="47"/>
  <c r="S111" i="75"/>
  <c r="K15" i="47"/>
  <c r="K18" i="47"/>
  <c r="U111" i="75" s="1"/>
  <c r="K19" i="47"/>
  <c r="K20" i="47"/>
  <c r="K21" i="47"/>
  <c r="K22" i="47"/>
  <c r="K23" i="47"/>
  <c r="K24" i="47"/>
  <c r="I113" i="75"/>
  <c r="K25" i="47"/>
  <c r="K26" i="47"/>
  <c r="K27" i="47"/>
  <c r="K29" i="47"/>
  <c r="K30" i="47"/>
  <c r="K31" i="47"/>
  <c r="K32" i="47"/>
  <c r="D76" i="83"/>
  <c r="K33" i="47"/>
  <c r="L51" i="75"/>
  <c r="K34" i="47"/>
  <c r="K36" i="47"/>
  <c r="K37" i="47"/>
  <c r="AI92" i="75"/>
  <c r="K38" i="47"/>
  <c r="K39" i="47"/>
  <c r="K40" i="47"/>
  <c r="S95" i="75"/>
  <c r="K41" i="47"/>
  <c r="K42" i="47"/>
  <c r="D78" i="83" s="1"/>
  <c r="K48" i="47"/>
  <c r="D80" i="83" s="1"/>
  <c r="K49" i="47"/>
  <c r="F16" i="90" s="1"/>
  <c r="K50" i="47"/>
  <c r="X95" i="75" s="1"/>
  <c r="K51" i="47"/>
  <c r="AD95" i="75" s="1"/>
  <c r="K53" i="47"/>
  <c r="K59" i="47"/>
  <c r="O67" i="74"/>
  <c r="K63" i="47"/>
  <c r="I99" i="75"/>
  <c r="K66" i="47"/>
  <c r="AA111" i="75"/>
  <c r="K68" i="47"/>
  <c r="K69" i="47"/>
  <c r="I101" i="75" s="1"/>
  <c r="K70" i="47"/>
  <c r="I103" i="75" s="1"/>
  <c r="K71" i="47"/>
  <c r="I105" i="75" s="1"/>
  <c r="K72" i="47"/>
  <c r="I107" i="75" s="1"/>
  <c r="K77" i="47"/>
  <c r="K80" i="47"/>
  <c r="K81" i="47"/>
  <c r="K83" i="47"/>
  <c r="K84" i="47"/>
  <c r="K85" i="47"/>
  <c r="K86" i="47"/>
  <c r="K87" i="47"/>
  <c r="D89" i="83"/>
  <c r="K88" i="47"/>
  <c r="D90" i="83"/>
  <c r="K89" i="47"/>
  <c r="K90" i="47"/>
  <c r="K91" i="47"/>
  <c r="K93" i="47"/>
  <c r="D92" i="83" s="1"/>
  <c r="K94" i="47"/>
  <c r="M34" i="75" s="1"/>
  <c r="K96" i="47"/>
  <c r="AN92" i="75" s="1"/>
  <c r="K97" i="47"/>
  <c r="S92" i="75" s="1"/>
  <c r="K100" i="47"/>
  <c r="BA92" i="75" s="1"/>
  <c r="K102" i="47"/>
  <c r="H15" i="47"/>
  <c r="H18" i="47"/>
  <c r="L111" i="75" s="1"/>
  <c r="H20" i="47"/>
  <c r="H21" i="47"/>
  <c r="H22" i="47"/>
  <c r="H23" i="47"/>
  <c r="H24" i="47"/>
  <c r="H113" i="75" s="1"/>
  <c r="H25" i="47"/>
  <c r="H26" i="47"/>
  <c r="H27" i="47"/>
  <c r="H29" i="47"/>
  <c r="H30" i="47"/>
  <c r="H31" i="47"/>
  <c r="H32" i="47"/>
  <c r="H95" i="75" s="1"/>
  <c r="H33" i="47"/>
  <c r="H51" i="75" s="1"/>
  <c r="H34" i="47"/>
  <c r="H36" i="47"/>
  <c r="H37" i="47"/>
  <c r="AE92" i="75" s="1"/>
  <c r="H38" i="47"/>
  <c r="H39" i="47"/>
  <c r="H40" i="47"/>
  <c r="P95" i="75" s="1"/>
  <c r="H41" i="47"/>
  <c r="H42" i="47"/>
  <c r="H48" i="47"/>
  <c r="H49" i="47"/>
  <c r="AF92" i="75"/>
  <c r="H50" i="47"/>
  <c r="W95" i="75"/>
  <c r="H51" i="47"/>
  <c r="AC95" i="75"/>
  <c r="H53" i="47"/>
  <c r="H59" i="47"/>
  <c r="H15" i="75" s="1"/>
  <c r="H63" i="47"/>
  <c r="H99" i="75" s="1"/>
  <c r="H66" i="47"/>
  <c r="R111" i="75" s="1"/>
  <c r="H68" i="47"/>
  <c r="H69" i="47"/>
  <c r="H101" i="75"/>
  <c r="H70" i="47"/>
  <c r="H103" i="75"/>
  <c r="H71" i="47"/>
  <c r="H105" i="75"/>
  <c r="H72" i="47"/>
  <c r="H107" i="75"/>
  <c r="H80" i="47"/>
  <c r="H81" i="47"/>
  <c r="H83" i="47"/>
  <c r="H84" i="47"/>
  <c r="AG95" i="75" s="1"/>
  <c r="H85" i="47"/>
  <c r="H86" i="47"/>
  <c r="H87" i="47"/>
  <c r="H88" i="47"/>
  <c r="H89" i="47"/>
  <c r="H90" i="47"/>
  <c r="H92" i="47"/>
  <c r="V92" i="75" s="1"/>
  <c r="H93" i="47"/>
  <c r="J51" i="75" s="1"/>
  <c r="H94" i="47"/>
  <c r="X92" i="75" s="1"/>
  <c r="H96" i="47"/>
  <c r="AM92" i="75" s="1"/>
  <c r="H97" i="47"/>
  <c r="P92" i="75" s="1"/>
  <c r="H98" i="47"/>
  <c r="M72" i="74" s="1"/>
  <c r="H100" i="47"/>
  <c r="AZ92" i="75" s="1"/>
  <c r="H102" i="47"/>
  <c r="G17" i="47"/>
  <c r="E13" i="47"/>
  <c r="G13" i="47"/>
  <c r="G101" i="47"/>
  <c r="G52" i="47"/>
  <c r="G55" i="47"/>
  <c r="G56" i="47"/>
  <c r="G62" i="47"/>
  <c r="G67" i="47"/>
  <c r="G103" i="47"/>
  <c r="G79" i="47"/>
  <c r="G99" i="47"/>
  <c r="G47" i="40"/>
  <c r="E6" i="90"/>
  <c r="I59" i="38"/>
  <c r="E11" i="83"/>
  <c r="F9" i="15"/>
  <c r="R47" i="40"/>
  <c r="S47" i="40"/>
  <c r="M47" i="40"/>
  <c r="L47" i="40"/>
  <c r="J47" i="40"/>
  <c r="O34" i="75"/>
  <c r="N38" i="75"/>
  <c r="L38" i="75"/>
  <c r="D31" i="88"/>
  <c r="D28" i="88"/>
  <c r="T65" i="75"/>
  <c r="Q65" i="75"/>
  <c r="P65" i="75"/>
  <c r="G89" i="74"/>
  <c r="K9" i="86"/>
  <c r="D30" i="88"/>
  <c r="D29" i="88"/>
  <c r="N94" i="75"/>
  <c r="L56" i="47"/>
  <c r="D40" i="88"/>
  <c r="D35" i="88"/>
  <c r="D34" i="88"/>
  <c r="S38" i="75"/>
  <c r="K38" i="75"/>
  <c r="K131" i="75"/>
  <c r="J131" i="75"/>
  <c r="AU92" i="75"/>
  <c r="AV92" i="75" s="1"/>
  <c r="D47" i="88"/>
  <c r="D9" i="15"/>
  <c r="H89" i="75"/>
  <c r="K27" i="75"/>
  <c r="M91" i="75"/>
  <c r="J38" i="75"/>
  <c r="L44" i="75"/>
  <c r="J46" i="75" s="1"/>
  <c r="M48" i="75" s="1"/>
  <c r="M44" i="75"/>
  <c r="AC91" i="75"/>
  <c r="K29" i="75"/>
  <c r="H29" i="75"/>
  <c r="D32" i="88"/>
  <c r="E9" i="17"/>
  <c r="H12" i="40" s="1"/>
  <c r="D9" i="17"/>
  <c r="A50" i="17"/>
  <c r="C50" i="17"/>
  <c r="A49" i="17"/>
  <c r="C49" i="17"/>
  <c r="A11" i="17"/>
  <c r="C11" i="17"/>
  <c r="A12" i="17"/>
  <c r="C12" i="17"/>
  <c r="A13" i="17"/>
  <c r="C13" i="17"/>
  <c r="A14" i="17"/>
  <c r="C14" i="17"/>
  <c r="A15" i="17"/>
  <c r="C15" i="17"/>
  <c r="A16" i="17"/>
  <c r="C16" i="17"/>
  <c r="A17" i="17"/>
  <c r="C17" i="17"/>
  <c r="A18" i="17"/>
  <c r="C18" i="17"/>
  <c r="A19" i="17"/>
  <c r="C19" i="17"/>
  <c r="A20" i="17"/>
  <c r="C20" i="17"/>
  <c r="A21" i="17"/>
  <c r="C21" i="17"/>
  <c r="A22" i="17"/>
  <c r="C22" i="17"/>
  <c r="A23" i="17"/>
  <c r="C23" i="17"/>
  <c r="A24" i="17"/>
  <c r="C24" i="17"/>
  <c r="A25" i="17"/>
  <c r="C25" i="17"/>
  <c r="A26" i="17"/>
  <c r="C26" i="17"/>
  <c r="A27" i="17"/>
  <c r="C27" i="17"/>
  <c r="A28" i="17"/>
  <c r="C28" i="17"/>
  <c r="A29" i="17"/>
  <c r="C29" i="17"/>
  <c r="A30" i="17"/>
  <c r="C30" i="17"/>
  <c r="A31" i="17"/>
  <c r="C31" i="17"/>
  <c r="A32" i="17"/>
  <c r="C32" i="17"/>
  <c r="A33" i="17"/>
  <c r="C33" i="17"/>
  <c r="A34" i="17"/>
  <c r="C34" i="17"/>
  <c r="A35" i="17"/>
  <c r="C35" i="17"/>
  <c r="A36" i="17"/>
  <c r="C36" i="17"/>
  <c r="A37" i="17"/>
  <c r="C37" i="17"/>
  <c r="A38" i="17"/>
  <c r="C38" i="17"/>
  <c r="A39" i="17"/>
  <c r="C39" i="17"/>
  <c r="A40" i="17"/>
  <c r="C40" i="17"/>
  <c r="A41" i="17"/>
  <c r="C41" i="17"/>
  <c r="A42" i="17"/>
  <c r="C42" i="17"/>
  <c r="A43" i="17"/>
  <c r="C43" i="17"/>
  <c r="A44" i="17"/>
  <c r="C44" i="17"/>
  <c r="A45" i="17"/>
  <c r="C45" i="17"/>
  <c r="A46" i="17"/>
  <c r="C46" i="17"/>
  <c r="A47" i="17"/>
  <c r="C47" i="17"/>
  <c r="A48" i="17"/>
  <c r="C48" i="17"/>
  <c r="C10" i="17"/>
  <c r="A10" i="17"/>
  <c r="G9" i="15"/>
  <c r="H9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V72" i="75"/>
  <c r="D44" i="88"/>
  <c r="D46" i="88"/>
  <c r="D45" i="88"/>
  <c r="T94" i="75"/>
  <c r="U94" i="75"/>
  <c r="J62" i="47"/>
  <c r="I62" i="47"/>
  <c r="K62" i="47" s="1"/>
  <c r="X111" i="75" s="1"/>
  <c r="F62" i="47"/>
  <c r="J99" i="47"/>
  <c r="I99" i="47"/>
  <c r="F99" i="47"/>
  <c r="E99" i="47"/>
  <c r="F53" i="90"/>
  <c r="N47" i="40"/>
  <c r="H24" i="90"/>
  <c r="I24" i="90"/>
  <c r="K24" i="90"/>
  <c r="L24" i="90"/>
  <c r="M24" i="90"/>
  <c r="N24" i="90"/>
  <c r="H25" i="90"/>
  <c r="I25" i="90"/>
  <c r="K25" i="90"/>
  <c r="L25" i="90"/>
  <c r="M25" i="90"/>
  <c r="N25" i="90"/>
  <c r="H26" i="90"/>
  <c r="I26" i="90"/>
  <c r="K26" i="90"/>
  <c r="L26" i="90"/>
  <c r="M26" i="90"/>
  <c r="N26" i="90"/>
  <c r="H27" i="90"/>
  <c r="I27" i="90"/>
  <c r="K27" i="90"/>
  <c r="L27" i="90"/>
  <c r="M27" i="90"/>
  <c r="N27" i="90"/>
  <c r="I28" i="90"/>
  <c r="K28" i="90"/>
  <c r="L28" i="90"/>
  <c r="M28" i="90"/>
  <c r="N28" i="90"/>
  <c r="H29" i="90"/>
  <c r="I29" i="90"/>
  <c r="K29" i="90"/>
  <c r="L29" i="90"/>
  <c r="M29" i="90"/>
  <c r="N29" i="90"/>
  <c r="H30" i="90"/>
  <c r="I30" i="90"/>
  <c r="K30" i="90"/>
  <c r="L30" i="90"/>
  <c r="M30" i="90"/>
  <c r="N30" i="90"/>
  <c r="H31" i="90"/>
  <c r="I31" i="90"/>
  <c r="K31" i="90"/>
  <c r="L31" i="90"/>
  <c r="M31" i="90"/>
  <c r="N31" i="90"/>
  <c r="K33" i="90"/>
  <c r="K35" i="90"/>
  <c r="H38" i="90"/>
  <c r="I38" i="90"/>
  <c r="K38" i="90"/>
  <c r="L38" i="90"/>
  <c r="M38" i="90"/>
  <c r="N38" i="90"/>
  <c r="O38" i="90"/>
  <c r="P38" i="90"/>
  <c r="D6" i="90"/>
  <c r="H6" i="90"/>
  <c r="F46" i="90"/>
  <c r="I47" i="40"/>
  <c r="I46" i="40" s="1"/>
  <c r="E31" i="42"/>
  <c r="E30" i="42"/>
  <c r="E5" i="101"/>
  <c r="E29" i="42"/>
  <c r="F47" i="40"/>
  <c r="D47" i="40" s="1"/>
  <c r="E67" i="47"/>
  <c r="L72" i="75"/>
  <c r="J101" i="47"/>
  <c r="I101" i="47"/>
  <c r="F101" i="47"/>
  <c r="E101" i="47"/>
  <c r="J79" i="47"/>
  <c r="F79" i="47"/>
  <c r="E79" i="47"/>
  <c r="I79" i="47"/>
  <c r="J67" i="47"/>
  <c r="F67" i="47"/>
  <c r="J56" i="47"/>
  <c r="I56" i="47"/>
  <c r="F56" i="47"/>
  <c r="E56" i="47"/>
  <c r="J55" i="47"/>
  <c r="I55" i="47"/>
  <c r="F55" i="47"/>
  <c r="J52" i="47"/>
  <c r="F52" i="47"/>
  <c r="J17" i="47"/>
  <c r="I17" i="47"/>
  <c r="F17" i="47"/>
  <c r="E17" i="47"/>
  <c r="E28" i="47" s="1"/>
  <c r="E54" i="47"/>
  <c r="H7" i="75" s="1"/>
  <c r="I8" i="75" s="1"/>
  <c r="J13" i="47"/>
  <c r="J28" i="47" s="1"/>
  <c r="I13" i="47"/>
  <c r="F13" i="47"/>
  <c r="N97" i="74"/>
  <c r="O72" i="75" s="1"/>
  <c r="AG22" i="74"/>
  <c r="I97" i="74"/>
  <c r="N13" i="42"/>
  <c r="E11" i="101" s="1"/>
  <c r="M13" i="42"/>
  <c r="E16" i="101" s="1"/>
  <c r="L13" i="42"/>
  <c r="E10" i="101" s="1"/>
  <c r="K13" i="42"/>
  <c r="E15" i="101" s="1"/>
  <c r="J13" i="42"/>
  <c r="E9" i="101" s="1"/>
  <c r="I13" i="42"/>
  <c r="E14" i="101" s="1"/>
  <c r="H13" i="42"/>
  <c r="E8" i="101" s="1"/>
  <c r="E13" i="101"/>
  <c r="E35" i="15"/>
  <c r="E14" i="15"/>
  <c r="E10" i="15"/>
  <c r="E11" i="15"/>
  <c r="E12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6" i="15"/>
  <c r="O81" i="38"/>
  <c r="N81" i="38"/>
  <c r="M81" i="38"/>
  <c r="L81" i="38"/>
  <c r="K81" i="38"/>
  <c r="J81" i="38"/>
  <c r="I81" i="38"/>
  <c r="H81" i="38"/>
  <c r="O76" i="38"/>
  <c r="N76" i="38"/>
  <c r="M76" i="38"/>
  <c r="L76" i="38"/>
  <c r="K76" i="38"/>
  <c r="J76" i="38"/>
  <c r="I76" i="38"/>
  <c r="H76" i="38"/>
  <c r="O72" i="38"/>
  <c r="N72" i="38"/>
  <c r="M72" i="38"/>
  <c r="L72" i="38"/>
  <c r="K72" i="38"/>
  <c r="J72" i="38"/>
  <c r="I72" i="38"/>
  <c r="I71" i="38"/>
  <c r="H72" i="38"/>
  <c r="H71" i="38"/>
  <c r="E24" i="83" s="1"/>
  <c r="E13" i="15"/>
  <c r="J5" i="86"/>
  <c r="I5" i="86"/>
  <c r="J9" i="86"/>
  <c r="I9" i="86"/>
  <c r="G58" i="88"/>
  <c r="G59" i="88"/>
  <c r="G60" i="88"/>
  <c r="G61" i="88"/>
  <c r="G62" i="88"/>
  <c r="G63" i="88"/>
  <c r="G57" i="88"/>
  <c r="D21" i="88"/>
  <c r="D19" i="88"/>
  <c r="D20" i="88"/>
  <c r="D22" i="88"/>
  <c r="N95" i="74"/>
  <c r="F95" i="74"/>
  <c r="AH25" i="74"/>
  <c r="K69" i="74"/>
  <c r="Q97" i="74"/>
  <c r="O12" i="75"/>
  <c r="L14" i="75"/>
  <c r="N28" i="42"/>
  <c r="M28" i="42"/>
  <c r="L28" i="42"/>
  <c r="Z3" i="101"/>
  <c r="K28" i="42"/>
  <c r="J28" i="42"/>
  <c r="I28" i="42"/>
  <c r="H3" i="101"/>
  <c r="H28" i="42"/>
  <c r="Y3" i="101"/>
  <c r="G28" i="42"/>
  <c r="F28" i="42"/>
  <c r="F51" i="42" s="1"/>
  <c r="S75" i="40"/>
  <c r="D66" i="83"/>
  <c r="B80" i="83"/>
  <c r="D36" i="83"/>
  <c r="E36" i="83"/>
  <c r="F68" i="90"/>
  <c r="F67" i="90"/>
  <c r="F66" i="90"/>
  <c r="N48" i="75"/>
  <c r="L48" i="75"/>
  <c r="H48" i="75"/>
  <c r="H44" i="75"/>
  <c r="J43" i="75"/>
  <c r="L45" i="75" s="1"/>
  <c r="E44" i="40"/>
  <c r="D55" i="83" s="1"/>
  <c r="H55" i="83" s="1"/>
  <c r="V69" i="74"/>
  <c r="T69" i="74"/>
  <c r="AE17" i="74"/>
  <c r="J4" i="92"/>
  <c r="K4" i="92"/>
  <c r="B4" i="92"/>
  <c r="C4" i="92"/>
  <c r="D4" i="92"/>
  <c r="N4" i="92"/>
  <c r="O4" i="92"/>
  <c r="P4" i="92"/>
  <c r="F4" i="92"/>
  <c r="G4" i="92"/>
  <c r="H4" i="92"/>
  <c r="L3" i="86"/>
  <c r="M5" i="86"/>
  <c r="L9" i="86"/>
  <c r="L5" i="86"/>
  <c r="K5" i="86"/>
  <c r="B31" i="90"/>
  <c r="B30" i="90"/>
  <c r="B29" i="90"/>
  <c r="B28" i="90"/>
  <c r="B27" i="90"/>
  <c r="B26" i="90"/>
  <c r="B24" i="90"/>
  <c r="J72" i="75"/>
  <c r="K70" i="74"/>
  <c r="K68" i="74"/>
  <c r="F30" i="38"/>
  <c r="F57" i="90"/>
  <c r="F52" i="90"/>
  <c r="F50" i="90"/>
  <c r="D38" i="88"/>
  <c r="D4" i="88"/>
  <c r="I48" i="75"/>
  <c r="K12" i="75"/>
  <c r="S30" i="38"/>
  <c r="D90" i="40"/>
  <c r="E90" i="40"/>
  <c r="R69" i="74"/>
  <c r="R72" i="74"/>
  <c r="L69" i="74"/>
  <c r="H9" i="86"/>
  <c r="G9" i="86"/>
  <c r="F9" i="86"/>
  <c r="E9" i="86"/>
  <c r="D9" i="86"/>
  <c r="A9" i="86"/>
  <c r="N74" i="75"/>
  <c r="K53" i="74"/>
  <c r="AG24" i="74"/>
  <c r="AG15" i="74"/>
  <c r="AG14" i="74"/>
  <c r="AG11" i="74"/>
  <c r="AG10" i="74" s="1"/>
  <c r="G23" i="74"/>
  <c r="G19" i="74" s="1"/>
  <c r="F19" i="74" s="1"/>
  <c r="AM21" i="74" s="1"/>
  <c r="K47" i="74"/>
  <c r="H47" i="74"/>
  <c r="AE15" i="74"/>
  <c r="K46" i="74"/>
  <c r="Q69" i="74"/>
  <c r="F46" i="74"/>
  <c r="AE14" i="74"/>
  <c r="B52" i="74"/>
  <c r="B53" i="74"/>
  <c r="B51" i="74"/>
  <c r="A52" i="74"/>
  <c r="A53" i="74"/>
  <c r="A51" i="74"/>
  <c r="B47" i="74"/>
  <c r="B46" i="74"/>
  <c r="A46" i="74"/>
  <c r="A47" i="74"/>
  <c r="B45" i="74"/>
  <c r="C45" i="74"/>
  <c r="D45" i="74"/>
  <c r="A45" i="74"/>
  <c r="F11" i="74"/>
  <c r="M11" i="74"/>
  <c r="AF12" i="74"/>
  <c r="R12" i="74"/>
  <c r="R11" i="74"/>
  <c r="M12" i="74"/>
  <c r="K49" i="74"/>
  <c r="G40" i="74"/>
  <c r="K40" i="74" s="1"/>
  <c r="F40" i="74"/>
  <c r="H40" i="74" s="1"/>
  <c r="J40" i="74" s="1"/>
  <c r="AF21" i="74"/>
  <c r="D54" i="40"/>
  <c r="D51" i="40"/>
  <c r="E51" i="40"/>
  <c r="D52" i="40"/>
  <c r="H47" i="40"/>
  <c r="H46" i="40" s="1"/>
  <c r="B85" i="83"/>
  <c r="B81" i="83"/>
  <c r="B84" i="83"/>
  <c r="F60" i="83"/>
  <c r="E60" i="83"/>
  <c r="E62" i="83"/>
  <c r="E59" i="83"/>
  <c r="E56" i="83"/>
  <c r="F56" i="83"/>
  <c r="G65" i="83"/>
  <c r="D65" i="83"/>
  <c r="F55" i="83"/>
  <c r="F54" i="83"/>
  <c r="G50" i="83"/>
  <c r="E30" i="83"/>
  <c r="D30" i="83" s="1"/>
  <c r="G46" i="83"/>
  <c r="D46" i="83"/>
  <c r="B76" i="83"/>
  <c r="E41" i="83"/>
  <c r="D41" i="83"/>
  <c r="E35" i="83"/>
  <c r="D35" i="83"/>
  <c r="E31" i="83"/>
  <c r="D31" i="83"/>
  <c r="C1" i="17"/>
  <c r="E1" i="17"/>
  <c r="F12" i="40"/>
  <c r="F13" i="40"/>
  <c r="G13" i="40" s="1"/>
  <c r="D1" i="15"/>
  <c r="H1" i="15"/>
  <c r="E1" i="74"/>
  <c r="G1" i="74"/>
  <c r="B3" i="74"/>
  <c r="N8" i="74"/>
  <c r="T8" i="74"/>
  <c r="AE8" i="74" s="1"/>
  <c r="AD64" i="75" s="1"/>
  <c r="Z64" i="75" s="1"/>
  <c r="O8" i="74"/>
  <c r="V8" i="74" s="1"/>
  <c r="AF8" i="74" s="1"/>
  <c r="P8" i="74"/>
  <c r="Y8" i="74"/>
  <c r="AG8" i="74" s="1"/>
  <c r="Q8" i="74"/>
  <c r="AH8" i="74"/>
  <c r="AF11" i="74"/>
  <c r="AH11" i="74"/>
  <c r="AH12" i="74"/>
  <c r="G13" i="74"/>
  <c r="G10" i="74" s="1"/>
  <c r="I13" i="74"/>
  <c r="K13" i="74"/>
  <c r="K10" i="74"/>
  <c r="AB65" i="75" s="1"/>
  <c r="L13" i="74"/>
  <c r="L10" i="74" s="1"/>
  <c r="AC65" i="75" s="1"/>
  <c r="F14" i="74"/>
  <c r="M14" i="74"/>
  <c r="R14" i="74"/>
  <c r="AF14" i="74"/>
  <c r="F15" i="74"/>
  <c r="M15" i="74"/>
  <c r="R15" i="74"/>
  <c r="AF15" i="74"/>
  <c r="AH15" i="74"/>
  <c r="F17" i="74"/>
  <c r="M17" i="74"/>
  <c r="AI23" i="74" s="1"/>
  <c r="R17" i="74"/>
  <c r="S17" i="74"/>
  <c r="AF17" i="74"/>
  <c r="AL23" i="74" s="1"/>
  <c r="AL25" i="74" s="1"/>
  <c r="AG17" i="74"/>
  <c r="AH17" i="74"/>
  <c r="F21" i="74"/>
  <c r="M21" i="74"/>
  <c r="R21" i="74"/>
  <c r="AH21" i="74"/>
  <c r="M22" i="74"/>
  <c r="I23" i="74"/>
  <c r="I19" i="74"/>
  <c r="K23" i="74"/>
  <c r="K19" i="74"/>
  <c r="L23" i="74"/>
  <c r="L19" i="74"/>
  <c r="AJ23" i="74"/>
  <c r="AK23" i="74"/>
  <c r="F24" i="74"/>
  <c r="M24" i="74"/>
  <c r="R24" i="74"/>
  <c r="AF24" i="74"/>
  <c r="AH24" i="74"/>
  <c r="F25" i="74"/>
  <c r="M25" i="74"/>
  <c r="AF25" i="74"/>
  <c r="F27" i="74"/>
  <c r="I10" i="75" s="1"/>
  <c r="L10" i="75"/>
  <c r="AG27" i="74"/>
  <c r="AH27" i="74"/>
  <c r="V77" i="75" s="1"/>
  <c r="R29" i="74"/>
  <c r="S29" i="74"/>
  <c r="K32" i="74"/>
  <c r="K33" i="74" s="1"/>
  <c r="AA32" i="74"/>
  <c r="E63" i="74"/>
  <c r="B66" i="74"/>
  <c r="E66" i="74"/>
  <c r="F66" i="74"/>
  <c r="G66" i="74"/>
  <c r="I66" i="74"/>
  <c r="K66" i="74"/>
  <c r="L66" i="74"/>
  <c r="M66" i="74"/>
  <c r="N66" i="74"/>
  <c r="O66" i="74"/>
  <c r="P66" i="74"/>
  <c r="R67" i="74"/>
  <c r="K71" i="74"/>
  <c r="Q99" i="74" s="1"/>
  <c r="L72" i="74"/>
  <c r="Q72" i="74"/>
  <c r="T72" i="74"/>
  <c r="V72" i="74"/>
  <c r="I95" i="74"/>
  <c r="E97" i="74"/>
  <c r="E99" i="74"/>
  <c r="F99" i="74"/>
  <c r="N99" i="74"/>
  <c r="B100" i="74"/>
  <c r="E100" i="74"/>
  <c r="G100" i="74"/>
  <c r="I100" i="74"/>
  <c r="K100" i="74"/>
  <c r="N100" i="74"/>
  <c r="O69" i="75" s="1"/>
  <c r="O100" i="74"/>
  <c r="D2" i="47"/>
  <c r="F2" i="47"/>
  <c r="A4" i="47"/>
  <c r="D55" i="47"/>
  <c r="A56" i="47"/>
  <c r="D56" i="47"/>
  <c r="D2" i="42"/>
  <c r="F2" i="42"/>
  <c r="A9" i="42"/>
  <c r="D1" i="40"/>
  <c r="I1" i="40"/>
  <c r="A3" i="40"/>
  <c r="A4" i="42" s="1"/>
  <c r="F8" i="40"/>
  <c r="F16" i="40"/>
  <c r="F37" i="83"/>
  <c r="E42" i="83"/>
  <c r="D42" i="83"/>
  <c r="E43" i="83"/>
  <c r="D43" i="83"/>
  <c r="F26" i="40"/>
  <c r="G97" i="74"/>
  <c r="F33" i="40"/>
  <c r="G35" i="40"/>
  <c r="H33" i="40"/>
  <c r="I34" i="40"/>
  <c r="D43" i="40"/>
  <c r="E103" i="40"/>
  <c r="D44" i="40"/>
  <c r="E104" i="40"/>
  <c r="D45" i="40"/>
  <c r="E105" i="40"/>
  <c r="E45" i="40"/>
  <c r="D56" i="83"/>
  <c r="D48" i="40"/>
  <c r="D53" i="40"/>
  <c r="D49" i="40"/>
  <c r="S4" i="92"/>
  <c r="E49" i="40"/>
  <c r="W4" i="92"/>
  <c r="D50" i="40"/>
  <c r="E50" i="40"/>
  <c r="D55" i="40"/>
  <c r="E55" i="40"/>
  <c r="D57" i="40"/>
  <c r="E57" i="40"/>
  <c r="D58" i="40"/>
  <c r="E58" i="40"/>
  <c r="D59" i="83" s="1"/>
  <c r="H59" i="83" s="1"/>
  <c r="D59" i="40"/>
  <c r="E59" i="40"/>
  <c r="F35" i="90" s="1"/>
  <c r="D60" i="40"/>
  <c r="E60" i="40"/>
  <c r="D61" i="40"/>
  <c r="E61" i="40"/>
  <c r="F62" i="40"/>
  <c r="F46" i="40" s="1"/>
  <c r="J62" i="40"/>
  <c r="J46" i="40"/>
  <c r="K62" i="40"/>
  <c r="L62" i="40"/>
  <c r="L46" i="40" s="1"/>
  <c r="M62" i="40"/>
  <c r="M46" i="40" s="1"/>
  <c r="N62" i="40"/>
  <c r="O62" i="40"/>
  <c r="R62" i="40"/>
  <c r="S62" i="40"/>
  <c r="D63" i="40"/>
  <c r="E63" i="40"/>
  <c r="D64" i="40"/>
  <c r="E64" i="40"/>
  <c r="D65" i="40"/>
  <c r="E65" i="40"/>
  <c r="D66" i="40"/>
  <c r="E66" i="40"/>
  <c r="D67" i="40"/>
  <c r="E67" i="40"/>
  <c r="D68" i="40"/>
  <c r="E68" i="40"/>
  <c r="D69" i="40"/>
  <c r="E69" i="40"/>
  <c r="D62" i="83"/>
  <c r="H62" i="83" s="1"/>
  <c r="D71" i="40"/>
  <c r="E71" i="40"/>
  <c r="D72" i="40"/>
  <c r="E72" i="40"/>
  <c r="D74" i="40"/>
  <c r="F75" i="40"/>
  <c r="F70" i="40" s="1"/>
  <c r="G75" i="40"/>
  <c r="G70" i="40" s="1"/>
  <c r="H75" i="40"/>
  <c r="H70" i="40" s="1"/>
  <c r="I75" i="40"/>
  <c r="I70" i="40"/>
  <c r="J75" i="40"/>
  <c r="J70" i="40"/>
  <c r="K75" i="40"/>
  <c r="K70" i="40"/>
  <c r="L75" i="40"/>
  <c r="L70" i="40"/>
  <c r="M75" i="40"/>
  <c r="M70" i="40"/>
  <c r="N75" i="40"/>
  <c r="N70" i="40"/>
  <c r="O75" i="40"/>
  <c r="R75" i="40"/>
  <c r="R70" i="40" s="1"/>
  <c r="R42" i="40" s="1"/>
  <c r="D76" i="40"/>
  <c r="E76" i="40"/>
  <c r="D77" i="40"/>
  <c r="E77" i="40"/>
  <c r="D78" i="40"/>
  <c r="E78" i="40"/>
  <c r="D79" i="40"/>
  <c r="E79" i="40"/>
  <c r="D80" i="40"/>
  <c r="E80" i="40"/>
  <c r="D81" i="40"/>
  <c r="E81" i="40"/>
  <c r="D82" i="40"/>
  <c r="E82" i="40"/>
  <c r="D83" i="40"/>
  <c r="E83" i="40"/>
  <c r="D84" i="40"/>
  <c r="E84" i="40"/>
  <c r="D85" i="40"/>
  <c r="E85" i="40"/>
  <c r="D86" i="40"/>
  <c r="E86" i="40"/>
  <c r="D87" i="40"/>
  <c r="E87" i="40"/>
  <c r="D88" i="40"/>
  <c r="E88" i="40"/>
  <c r="D89" i="40"/>
  <c r="E89" i="40"/>
  <c r="D91" i="40"/>
  <c r="E91" i="40"/>
  <c r="F92" i="40"/>
  <c r="H92" i="40"/>
  <c r="I92" i="40"/>
  <c r="J92" i="40"/>
  <c r="K92" i="40"/>
  <c r="L92" i="40"/>
  <c r="M92" i="40"/>
  <c r="N92" i="40"/>
  <c r="R92" i="40"/>
  <c r="D93" i="40"/>
  <c r="O92" i="40"/>
  <c r="F64" i="83" s="1"/>
  <c r="D94" i="40"/>
  <c r="E94" i="40"/>
  <c r="D95" i="40"/>
  <c r="E95" i="40"/>
  <c r="B105" i="40"/>
  <c r="I30" i="38"/>
  <c r="J30" i="38"/>
  <c r="J29" i="38" s="1"/>
  <c r="K30" i="38"/>
  <c r="L30" i="38"/>
  <c r="D61" i="38"/>
  <c r="A63" i="38"/>
  <c r="F72" i="38"/>
  <c r="G73" i="38"/>
  <c r="G74" i="38"/>
  <c r="G75" i="38"/>
  <c r="F76" i="38"/>
  <c r="G77" i="38"/>
  <c r="G78" i="38"/>
  <c r="G79" i="38"/>
  <c r="G80" i="38"/>
  <c r="F81" i="38"/>
  <c r="G82" i="38"/>
  <c r="G83" i="38"/>
  <c r="D1" i="75"/>
  <c r="F1" i="75"/>
  <c r="G1" i="75"/>
  <c r="H1" i="75"/>
  <c r="D3" i="75"/>
  <c r="Q18" i="75"/>
  <c r="J21" i="75"/>
  <c r="J69" i="75"/>
  <c r="L69" i="75"/>
  <c r="Q69" i="75"/>
  <c r="I77" i="75"/>
  <c r="P77" i="75"/>
  <c r="J78" i="75"/>
  <c r="N83" i="75"/>
  <c r="O83" i="75"/>
  <c r="P83" i="75"/>
  <c r="Q83" i="75"/>
  <c r="I88" i="75"/>
  <c r="L88" i="75"/>
  <c r="N91" i="75"/>
  <c r="Q91" i="75"/>
  <c r="T91" i="75" s="1"/>
  <c r="U91" i="75"/>
  <c r="F100" i="74"/>
  <c r="M69" i="75"/>
  <c r="R22" i="74"/>
  <c r="E54" i="83"/>
  <c r="D47" i="83"/>
  <c r="E55" i="83"/>
  <c r="E56" i="40"/>
  <c r="D56" i="40"/>
  <c r="E53" i="40"/>
  <c r="G47" i="83"/>
  <c r="S92" i="40"/>
  <c r="E43" i="40"/>
  <c r="H117" i="75"/>
  <c r="E44" i="83"/>
  <c r="F38" i="83"/>
  <c r="D38" i="83" s="1"/>
  <c r="D73" i="40"/>
  <c r="E37" i="83"/>
  <c r="H74" i="75"/>
  <c r="D37" i="83"/>
  <c r="F28" i="83"/>
  <c r="F12" i="74"/>
  <c r="R27" i="74"/>
  <c r="H44" i="74"/>
  <c r="K43" i="74"/>
  <c r="F43" i="74"/>
  <c r="AE11" i="74"/>
  <c r="K44" i="74"/>
  <c r="AG12" i="74"/>
  <c r="F22" i="74"/>
  <c r="G48" i="83"/>
  <c r="E93" i="40"/>
  <c r="G92" i="40"/>
  <c r="E92" i="40" s="1"/>
  <c r="J22" i="75" s="1"/>
  <c r="X69" i="74"/>
  <c r="O97" i="74"/>
  <c r="P97" i="74" s="1"/>
  <c r="D48" i="83"/>
  <c r="H26" i="40"/>
  <c r="F56" i="90"/>
  <c r="R25" i="74"/>
  <c r="R5" i="74" s="1"/>
  <c r="K52" i="74"/>
  <c r="AG21" i="74"/>
  <c r="F49" i="74"/>
  <c r="J49" i="74" s="1"/>
  <c r="J48" i="74" s="1"/>
  <c r="F52" i="74"/>
  <c r="J52" i="74" s="1"/>
  <c r="J51" i="74" s="1"/>
  <c r="H53" i="74"/>
  <c r="AE25" i="74" s="1"/>
  <c r="AE23" i="74" s="1"/>
  <c r="H50" i="74"/>
  <c r="AE22" i="74" s="1"/>
  <c r="K50" i="74"/>
  <c r="AG25" i="74"/>
  <c r="AG23" i="74"/>
  <c r="I84" i="75"/>
  <c r="E95" i="74"/>
  <c r="K67" i="74"/>
  <c r="K15" i="75"/>
  <c r="J54" i="74"/>
  <c r="J111" i="75"/>
  <c r="S70" i="40"/>
  <c r="L4" i="92"/>
  <c r="E32" i="83"/>
  <c r="D32" i="83"/>
  <c r="H41" i="75"/>
  <c r="H8" i="40"/>
  <c r="E29" i="83" s="1"/>
  <c r="G51" i="42"/>
  <c r="K51" i="42"/>
  <c r="J51" i="42"/>
  <c r="E58" i="83"/>
  <c r="Z92" i="75"/>
  <c r="I51" i="42"/>
  <c r="I123" i="75"/>
  <c r="H51" i="42"/>
  <c r="H123" i="75"/>
  <c r="H127" i="75"/>
  <c r="A4" i="92"/>
  <c r="I36" i="40"/>
  <c r="M4" i="92"/>
  <c r="I35" i="40"/>
  <c r="G34" i="40"/>
  <c r="G33" i="40" s="1"/>
  <c r="G36" i="40"/>
  <c r="E4" i="92"/>
  <c r="D9" i="47"/>
  <c r="D10" i="47"/>
  <c r="H129" i="75"/>
  <c r="K38" i="42"/>
  <c r="P10" i="75"/>
  <c r="L32" i="47"/>
  <c r="J95" i="75"/>
  <c r="H22" i="75"/>
  <c r="AL21" i="74"/>
  <c r="L51" i="42"/>
  <c r="G105" i="40"/>
  <c r="E28" i="42"/>
  <c r="D4" i="83"/>
  <c r="I125" i="75"/>
  <c r="I3" i="101"/>
  <c r="I121" i="75"/>
  <c r="X3" i="101"/>
  <c r="O31" i="42"/>
  <c r="V6" i="101"/>
  <c r="E6" i="101"/>
  <c r="I127" i="75"/>
  <c r="J3" i="101"/>
  <c r="M51" i="42"/>
  <c r="AA3" i="101"/>
  <c r="K3" i="101"/>
  <c r="F38" i="42"/>
  <c r="H38" i="42"/>
  <c r="H121" i="75"/>
  <c r="J38" i="42"/>
  <c r="K132" i="75" s="1"/>
  <c r="G38" i="42"/>
  <c r="I38" i="42"/>
  <c r="J132" i="75"/>
  <c r="I7" i="101"/>
  <c r="P4" i="101"/>
  <c r="H119" i="75"/>
  <c r="F51" i="90"/>
  <c r="F71" i="38"/>
  <c r="L29" i="38"/>
  <c r="H69" i="75"/>
  <c r="I28" i="47"/>
  <c r="I97" i="75"/>
  <c r="J47" i="74"/>
  <c r="P100" i="74"/>
  <c r="G95" i="74"/>
  <c r="L95" i="74" s="1"/>
  <c r="V34" i="75"/>
  <c r="Q67" i="74"/>
  <c r="AG13" i="74"/>
  <c r="AE21" i="74"/>
  <c r="K51" i="74"/>
  <c r="AH23" i="74"/>
  <c r="AH19" i="74"/>
  <c r="AF13" i="74"/>
  <c r="AF10" i="74"/>
  <c r="AD14" i="74"/>
  <c r="AF23" i="74"/>
  <c r="J46" i="74"/>
  <c r="AE24" i="74"/>
  <c r="AD24" i="74" s="1"/>
  <c r="K45" i="74"/>
  <c r="J18" i="75"/>
  <c r="F29" i="38"/>
  <c r="K36" i="90"/>
  <c r="F61" i="83"/>
  <c r="H72" i="75"/>
  <c r="Q92" i="75"/>
  <c r="I15" i="75"/>
  <c r="I40" i="74"/>
  <c r="K42" i="74"/>
  <c r="G88" i="74"/>
  <c r="V84" i="75"/>
  <c r="T84" i="75" s="1"/>
  <c r="AE13" i="74"/>
  <c r="L18" i="75"/>
  <c r="J45" i="74"/>
  <c r="Q95" i="74"/>
  <c r="T77" i="75"/>
  <c r="O29" i="42"/>
  <c r="V4" i="101" s="1"/>
  <c r="E4" i="101"/>
  <c r="I119" i="75"/>
  <c r="F3" i="101"/>
  <c r="N51" i="42"/>
  <c r="U3" i="101"/>
  <c r="H132" i="75"/>
  <c r="F7" i="40"/>
  <c r="G19" i="40" s="1"/>
  <c r="I42" i="40"/>
  <c r="E61" i="83"/>
  <c r="L15" i="40"/>
  <c r="G46" i="40"/>
  <c r="W46" i="40"/>
  <c r="G104" i="40"/>
  <c r="F62" i="90"/>
  <c r="D75" i="40"/>
  <c r="E64" i="83"/>
  <c r="D62" i="40"/>
  <c r="N46" i="40"/>
  <c r="AB46" i="40" s="1"/>
  <c r="S46" i="40"/>
  <c r="S42" i="40" s="1"/>
  <c r="E62" i="40"/>
  <c r="H56" i="83"/>
  <c r="K46" i="40"/>
  <c r="Y46" i="40" s="1"/>
  <c r="E75" i="40"/>
  <c r="R46" i="40"/>
  <c r="K37" i="90"/>
  <c r="K39" i="90" s="1"/>
  <c r="G76" i="38"/>
  <c r="S29" i="38"/>
  <c r="E22" i="83"/>
  <c r="D22" i="83" s="1"/>
  <c r="I23" i="90"/>
  <c r="I32" i="90" s="1"/>
  <c r="K29" i="38"/>
  <c r="M23" i="90" s="1"/>
  <c r="M32" i="90" s="1"/>
  <c r="H23" i="90"/>
  <c r="H32" i="90"/>
  <c r="F38" i="90"/>
  <c r="Q38" i="90"/>
  <c r="G81" i="38"/>
  <c r="L71" i="38"/>
  <c r="I55" i="38"/>
  <c r="K71" i="38"/>
  <c r="J71" i="38"/>
  <c r="F63" i="90"/>
  <c r="J43" i="74"/>
  <c r="X46" i="40"/>
  <c r="J42" i="40"/>
  <c r="U77" i="75"/>
  <c r="AD27" i="74"/>
  <c r="R10" i="75" s="1"/>
  <c r="S10" i="75" s="1"/>
  <c r="AG64" i="75"/>
  <c r="AC64" i="75"/>
  <c r="G72" i="38"/>
  <c r="AE12" i="74"/>
  <c r="AD12" i="74" s="1"/>
  <c r="J44" i="74"/>
  <c r="J42" i="74" s="1"/>
  <c r="M71" i="38"/>
  <c r="H37" i="90"/>
  <c r="H39" i="90" s="1"/>
  <c r="AH13" i="74"/>
  <c r="AH10" i="74" s="1"/>
  <c r="AD15" i="74"/>
  <c r="S84" i="75"/>
  <c r="O95" i="74"/>
  <c r="P95" i="74" s="1"/>
  <c r="T67" i="74"/>
  <c r="M20" i="75"/>
  <c r="I29" i="38"/>
  <c r="D92" i="40"/>
  <c r="E106" i="40"/>
  <c r="O71" i="38"/>
  <c r="N71" i="38"/>
  <c r="D26" i="83" s="1"/>
  <c r="E9" i="15"/>
  <c r="K51" i="75" s="1"/>
  <c r="O30" i="42"/>
  <c r="V5" i="101" s="1"/>
  <c r="J53" i="74"/>
  <c r="F13" i="74"/>
  <c r="H84" i="75" s="1"/>
  <c r="J84" i="75" s="1"/>
  <c r="I10" i="74"/>
  <c r="R97" i="75"/>
  <c r="F23" i="74"/>
  <c r="I129" i="75"/>
  <c r="E13" i="42"/>
  <c r="G74" i="90"/>
  <c r="I74" i="90"/>
  <c r="K13" i="47"/>
  <c r="AN13" i="74" s="1"/>
  <c r="F28" i="47"/>
  <c r="F54" i="47" s="1"/>
  <c r="J103" i="47"/>
  <c r="K99" i="47"/>
  <c r="AT92" i="75"/>
  <c r="AX92" i="75" s="1"/>
  <c r="G28" i="47"/>
  <c r="H99" i="47"/>
  <c r="AS92" i="75"/>
  <c r="AW92" i="75" s="1"/>
  <c r="AX89" i="75" s="1"/>
  <c r="Q34" i="75" s="1"/>
  <c r="V31" i="75" s="1"/>
  <c r="M51" i="75"/>
  <c r="E103" i="47"/>
  <c r="I7" i="75"/>
  <c r="L34" i="75"/>
  <c r="AB92" i="75"/>
  <c r="F47" i="90"/>
  <c r="I45" i="75"/>
  <c r="I49" i="75" s="1"/>
  <c r="K17" i="47"/>
  <c r="AN23" i="74" s="1"/>
  <c r="AA92" i="75"/>
  <c r="AC92" i="75" s="1"/>
  <c r="G25" i="40"/>
  <c r="G14" i="40"/>
  <c r="G18" i="40"/>
  <c r="G23" i="40"/>
  <c r="G22" i="40"/>
  <c r="G10" i="40"/>
  <c r="G15" i="40"/>
  <c r="G26" i="40"/>
  <c r="G17" i="40"/>
  <c r="G24" i="40"/>
  <c r="G11" i="40"/>
  <c r="G16" i="40"/>
  <c r="G21" i="40"/>
  <c r="G12" i="40"/>
  <c r="G28" i="40"/>
  <c r="H31" i="75"/>
  <c r="Y22" i="38"/>
  <c r="L25" i="47"/>
  <c r="D85" i="83"/>
  <c r="M56" i="47"/>
  <c r="V65" i="75"/>
  <c r="D87" i="83"/>
  <c r="AD32" i="74"/>
  <c r="H74" i="90"/>
  <c r="J74" i="90" s="1"/>
  <c r="F40" i="90" s="1"/>
  <c r="M95" i="75"/>
  <c r="I20" i="75"/>
  <c r="D77" i="83"/>
  <c r="Z22" i="38"/>
  <c r="AH95" i="75"/>
  <c r="W92" i="75"/>
  <c r="Y92" i="75"/>
  <c r="AC89" i="75" s="1"/>
  <c r="N92" i="75"/>
  <c r="K111" i="75"/>
  <c r="I81" i="75"/>
  <c r="H13" i="47"/>
  <c r="AM13" i="74"/>
  <c r="BC92" i="75"/>
  <c r="M57" i="47"/>
  <c r="M111" i="75"/>
  <c r="V111" i="75"/>
  <c r="H18" i="75"/>
  <c r="N95" i="75"/>
  <c r="F12" i="90"/>
  <c r="S72" i="75"/>
  <c r="F11" i="90"/>
  <c r="M67" i="74"/>
  <c r="Z95" i="75"/>
  <c r="H52" i="47"/>
  <c r="H86" i="75"/>
  <c r="AF95" i="75"/>
  <c r="O69" i="74"/>
  <c r="H10" i="75"/>
  <c r="J10" i="75" s="1"/>
  <c r="F32" i="74"/>
  <c r="I95" i="75"/>
  <c r="K95" i="75"/>
  <c r="K101" i="47"/>
  <c r="K79" i="47"/>
  <c r="K34" i="75"/>
  <c r="L53" i="47"/>
  <c r="K86" i="75"/>
  <c r="AI95" i="75"/>
  <c r="T111" i="75"/>
  <c r="N18" i="75"/>
  <c r="E74" i="90"/>
  <c r="L92" i="75"/>
  <c r="AJ92" i="75"/>
  <c r="D82" i="83"/>
  <c r="J34" i="75"/>
  <c r="N34" i="75"/>
  <c r="N35" i="75" s="1"/>
  <c r="I132" i="75"/>
  <c r="O28" i="42"/>
  <c r="V3" i="101"/>
  <c r="E51" i="42"/>
  <c r="F58" i="90"/>
  <c r="E3" i="101"/>
  <c r="Q32" i="74"/>
  <c r="Q33" i="74" s="1"/>
  <c r="N23" i="90"/>
  <c r="N32" i="90" s="1"/>
  <c r="J49" i="75"/>
  <c r="J12" i="75"/>
  <c r="L15" i="75" s="1"/>
  <c r="D49" i="83"/>
  <c r="M9" i="86"/>
  <c r="N9" i="86" s="1"/>
  <c r="E12" i="101"/>
  <c r="N42" i="40"/>
  <c r="K42" i="40"/>
  <c r="AE46" i="40"/>
  <c r="AD46" i="40"/>
  <c r="F36" i="90"/>
  <c r="D61" i="83"/>
  <c r="H61" i="83"/>
  <c r="L29" i="75"/>
  <c r="M29" i="75"/>
  <c r="G71" i="38"/>
  <c r="D23" i="83"/>
  <c r="N37" i="90"/>
  <c r="N39" i="90"/>
  <c r="L27" i="75"/>
  <c r="M27" i="75"/>
  <c r="L37" i="90"/>
  <c r="L39" i="90"/>
  <c r="M37" i="90"/>
  <c r="M39" i="90"/>
  <c r="S19" i="38"/>
  <c r="M25" i="75"/>
  <c r="R84" i="75"/>
  <c r="L67" i="74"/>
  <c r="P37" i="90"/>
  <c r="P39" i="90"/>
  <c r="O37" i="90"/>
  <c r="O39" i="90"/>
  <c r="AD13" i="74"/>
  <c r="I29" i="75"/>
  <c r="J29" i="75" s="1"/>
  <c r="K23" i="90"/>
  <c r="K32" i="90" s="1"/>
  <c r="I37" i="90"/>
  <c r="AA65" i="75"/>
  <c r="V35" i="75"/>
  <c r="AI21" i="74"/>
  <c r="F6" i="90"/>
  <c r="O19" i="103"/>
  <c r="Z24" i="38"/>
  <c r="P24" i="90"/>
  <c r="E78" i="47"/>
  <c r="H76" i="47"/>
  <c r="H74" i="47"/>
  <c r="I32" i="74" s="1"/>
  <c r="K3" i="86"/>
  <c r="I3" i="86" s="1"/>
  <c r="M3" i="86"/>
  <c r="N19" i="103"/>
  <c r="P19" i="103"/>
  <c r="J78" i="47"/>
  <c r="I109" i="75"/>
  <c r="M31" i="38"/>
  <c r="Q70" i="40"/>
  <c r="O74" i="40"/>
  <c r="E74" i="40" s="1"/>
  <c r="R19" i="38"/>
  <c r="J92" i="75"/>
  <c r="AK21" i="74"/>
  <c r="K28" i="47"/>
  <c r="K81" i="75"/>
  <c r="M38" i="75"/>
  <c r="O38" i="75"/>
  <c r="G28" i="83"/>
  <c r="D24" i="83"/>
  <c r="D19" i="83"/>
  <c r="N29" i="75"/>
  <c r="D11" i="83"/>
  <c r="AK25" i="74"/>
  <c r="AD33" i="74"/>
  <c r="F33" i="74"/>
  <c r="AD17" i="74"/>
  <c r="R89" i="75" s="1"/>
  <c r="O51" i="42"/>
  <c r="F13" i="42"/>
  <c r="E38" i="42" s="1"/>
  <c r="R92" i="75"/>
  <c r="D81" i="83"/>
  <c r="F17" i="90"/>
  <c r="H79" i="47"/>
  <c r="R72" i="75"/>
  <c r="M63" i="47"/>
  <c r="K78" i="47"/>
  <c r="D86" i="83"/>
  <c r="L86" i="75"/>
  <c r="I78" i="75" s="1"/>
  <c r="K77" i="75"/>
  <c r="M92" i="75"/>
  <c r="O92" i="75" s="1"/>
  <c r="AF32" i="74"/>
  <c r="K89" i="75"/>
  <c r="L77" i="75"/>
  <c r="M77" i="75" s="1"/>
  <c r="AF33" i="74"/>
  <c r="L95" i="75"/>
  <c r="O95" i="75"/>
  <c r="D60" i="83"/>
  <c r="H60" i="83"/>
  <c r="J15" i="40"/>
  <c r="Z69" i="74"/>
  <c r="G128" i="75"/>
  <c r="BI6" i="102"/>
  <c r="BI7" i="102" s="1"/>
  <c r="L57" i="74"/>
  <c r="G106" i="75"/>
  <c r="AX6" i="102"/>
  <c r="AX7" i="102" s="1"/>
  <c r="AQ19" i="74"/>
  <c r="X84" i="75" s="1"/>
  <c r="AK17" i="74"/>
  <c r="O89" i="75" s="1"/>
  <c r="S69" i="74"/>
  <c r="J8" i="40"/>
  <c r="F33" i="90"/>
  <c r="H33" i="90" s="1"/>
  <c r="AL17" i="74"/>
  <c r="P89" i="75" s="1"/>
  <c r="G31" i="75"/>
  <c r="AC6" i="102" s="1"/>
  <c r="AC7" i="102" s="1"/>
  <c r="J48" i="42"/>
  <c r="BC89" i="75"/>
  <c r="M48" i="42"/>
  <c r="I56" i="75"/>
  <c r="AR19" i="74"/>
  <c r="Y84" i="75"/>
  <c r="R81" i="75"/>
  <c r="Z19" i="38"/>
  <c r="J25" i="75"/>
  <c r="M8" i="40"/>
  <c r="K41" i="75" s="1"/>
  <c r="L8" i="40"/>
  <c r="J41" i="75" s="1"/>
  <c r="K48" i="42"/>
  <c r="AO92" i="75"/>
  <c r="G122" i="75"/>
  <c r="BF6" i="102" s="1"/>
  <c r="BF7" i="102" s="1"/>
  <c r="G118" i="75"/>
  <c r="BD6" i="102"/>
  <c r="BD7" i="102" s="1"/>
  <c r="S72" i="74"/>
  <c r="G61" i="75"/>
  <c r="M6" i="102"/>
  <c r="M7" i="102" s="1"/>
  <c r="G59" i="75"/>
  <c r="L6" i="102" s="1"/>
  <c r="L7" i="102" s="1"/>
  <c r="AI17" i="74"/>
  <c r="P18" i="75"/>
  <c r="Q89" i="75"/>
  <c r="K8" i="40"/>
  <c r="I25" i="75"/>
  <c r="Z72" i="74"/>
  <c r="D54" i="83"/>
  <c r="H54" i="83"/>
  <c r="S67" i="74"/>
  <c r="G126" i="75"/>
  <c r="BH6" i="102" s="1"/>
  <c r="BH7" i="102" s="1"/>
  <c r="G124" i="75"/>
  <c r="BG6" i="102"/>
  <c r="BG7" i="102" s="1"/>
  <c r="AJ17" i="74"/>
  <c r="N89" i="75" s="1"/>
  <c r="G120" i="75"/>
  <c r="BE6" i="102" s="1"/>
  <c r="BE7" i="102" s="1"/>
  <c r="G100" i="75"/>
  <c r="AU6" i="102"/>
  <c r="AU7" i="102" s="1"/>
  <c r="G102" i="75"/>
  <c r="AV6" i="102" s="1"/>
  <c r="AV7" i="102" s="1"/>
  <c r="G104" i="75"/>
  <c r="AW6" i="102"/>
  <c r="AW7" i="102" s="1"/>
  <c r="G112" i="75"/>
  <c r="BA6" i="102" s="1"/>
  <c r="BA7" i="102" s="1"/>
  <c r="Z67" i="74"/>
  <c r="S81" i="75"/>
  <c r="G103" i="40"/>
  <c r="F61" i="90"/>
  <c r="G98" i="75"/>
  <c r="AT6" i="102"/>
  <c r="AT7" i="102" s="1"/>
  <c r="F9" i="83"/>
  <c r="D9" i="83" s="1"/>
  <c r="H27" i="75"/>
  <c r="J50" i="74"/>
  <c r="K48" i="74"/>
  <c r="AD11" i="74"/>
  <c r="AE10" i="74"/>
  <c r="I67" i="47"/>
  <c r="I103" i="47" s="1"/>
  <c r="K7" i="75" s="1"/>
  <c r="N111" i="75"/>
  <c r="Y23" i="38"/>
  <c r="Q95" i="75"/>
  <c r="R95" i="75"/>
  <c r="H101" i="47"/>
  <c r="F103" i="47"/>
  <c r="G54" i="47"/>
  <c r="H97" i="75"/>
  <c r="H12" i="75"/>
  <c r="G16" i="75"/>
  <c r="H6" i="102" s="1"/>
  <c r="H7" i="102"/>
  <c r="K65" i="75"/>
  <c r="M65" i="75"/>
  <c r="S65" i="75"/>
  <c r="K44" i="47"/>
  <c r="K43" i="47" s="1"/>
  <c r="F54" i="90"/>
  <c r="AC19" i="38"/>
  <c r="D15" i="83"/>
  <c r="R38" i="75"/>
  <c r="T38" i="75"/>
  <c r="D84" i="83"/>
  <c r="O65" i="75"/>
  <c r="R65" i="75"/>
  <c r="U65" i="75"/>
  <c r="L65" i="75"/>
  <c r="N65" i="75"/>
  <c r="K52" i="47"/>
  <c r="I54" i="47"/>
  <c r="J7" i="75"/>
  <c r="H67" i="47"/>
  <c r="H103" i="47"/>
  <c r="M7" i="75" s="1"/>
  <c r="G6" i="90"/>
  <c r="L20" i="75"/>
  <c r="N20" i="75" s="1"/>
  <c r="D64" i="83"/>
  <c r="H64" i="83" s="1"/>
  <c r="G106" i="40"/>
  <c r="D83" i="83"/>
  <c r="I12" i="75"/>
  <c r="O97" i="75"/>
  <c r="K67" i="47"/>
  <c r="K103" i="47" s="1"/>
  <c r="O7" i="75"/>
  <c r="M53" i="47"/>
  <c r="P97" i="75"/>
  <c r="AK95" i="75"/>
  <c r="H62" i="47"/>
  <c r="AL92" i="75" s="1"/>
  <c r="AL89" i="75" s="1"/>
  <c r="H20" i="75"/>
  <c r="K20" i="75" s="1"/>
  <c r="P20" i="75" s="1"/>
  <c r="I22" i="75"/>
  <c r="G21" i="75"/>
  <c r="X6" i="102" s="1"/>
  <c r="X7" i="102"/>
  <c r="H17" i="47"/>
  <c r="AM23" i="74"/>
  <c r="AM25" i="74" s="1"/>
  <c r="N72" i="74"/>
  <c r="P72" i="74" s="1"/>
  <c r="AF19" i="74"/>
  <c r="AE65" i="75"/>
  <c r="M100" i="74"/>
  <c r="O72" i="74"/>
  <c r="I69" i="75"/>
  <c r="N69" i="75" s="1"/>
  <c r="T92" i="75"/>
  <c r="U92" i="75"/>
  <c r="U89" i="75" s="1"/>
  <c r="L81" i="75"/>
  <c r="H78" i="75" s="1"/>
  <c r="M62" i="47"/>
  <c r="D45" i="83"/>
  <c r="AE19" i="74"/>
  <c r="G45" i="83"/>
  <c r="M72" i="75"/>
  <c r="L97" i="74"/>
  <c r="M97" i="74"/>
  <c r="J20" i="75"/>
  <c r="O20" i="75"/>
  <c r="Q100" i="74"/>
  <c r="L100" i="74"/>
  <c r="AH6" i="74"/>
  <c r="AD21" i="74"/>
  <c r="L84" i="75"/>
  <c r="K72" i="75"/>
  <c r="E7" i="101"/>
  <c r="L4" i="101"/>
  <c r="D88" i="83"/>
  <c r="AH92" i="75"/>
  <c r="AK92" i="75" s="1"/>
  <c r="I117" i="75"/>
  <c r="J117" i="75" s="1"/>
  <c r="G116" i="75"/>
  <c r="BC6" i="102" s="1"/>
  <c r="BC7" i="102" s="1"/>
  <c r="BB7" i="102" s="1"/>
  <c r="H77" i="75"/>
  <c r="H78" i="47"/>
  <c r="I92" i="75" s="1"/>
  <c r="K92" i="75"/>
  <c r="H36" i="90"/>
  <c r="Q36" i="90"/>
  <c r="E39" i="42"/>
  <c r="E40" i="42"/>
  <c r="G130" i="75" s="1"/>
  <c r="BJ6" i="102"/>
  <c r="BJ7" i="102" s="1"/>
  <c r="G31" i="38"/>
  <c r="O24" i="90"/>
  <c r="I39" i="90"/>
  <c r="J88" i="74"/>
  <c r="H86" i="74" s="1"/>
  <c r="AD23" i="74"/>
  <c r="N67" i="74" s="1"/>
  <c r="P67" i="74" s="1"/>
  <c r="G27" i="40"/>
  <c r="G8" i="40"/>
  <c r="G20" i="40"/>
  <c r="G29" i="40"/>
  <c r="G9" i="40"/>
  <c r="E28" i="83"/>
  <c r="F26" i="83"/>
  <c r="M15" i="40"/>
  <c r="M74" i="75" s="1"/>
  <c r="N10" i="75"/>
  <c r="D18" i="83"/>
  <c r="M42" i="40"/>
  <c r="AI25" i="74"/>
  <c r="O30" i="90"/>
  <c r="E40" i="83"/>
  <c r="F40" i="83"/>
  <c r="D27" i="83"/>
  <c r="E27" i="83"/>
  <c r="E23" i="83"/>
  <c r="D25" i="83"/>
  <c r="AJ21" i="74"/>
  <c r="AJ25" i="74" s="1"/>
  <c r="F25" i="83"/>
  <c r="F23" i="83" s="1"/>
  <c r="AJ95" i="75"/>
  <c r="O47" i="40"/>
  <c r="E48" i="40"/>
  <c r="K20" i="103"/>
  <c r="G3" i="101"/>
  <c r="Z46" i="40"/>
  <c r="L42" i="40"/>
  <c r="AC29" i="74"/>
  <c r="AC32" i="74"/>
  <c r="O29" i="74"/>
  <c r="O29" i="90"/>
  <c r="G33" i="38"/>
  <c r="F26" i="90" s="1"/>
  <c r="Q26" i="90" s="1"/>
  <c r="O26" i="90"/>
  <c r="N72" i="75"/>
  <c r="E17" i="83"/>
  <c r="F25" i="103"/>
  <c r="M52" i="103"/>
  <c r="Q52" i="103" s="1"/>
  <c r="AL95" i="75" s="1"/>
  <c r="E26" i="103"/>
  <c r="E43" i="103"/>
  <c r="E41" i="103"/>
  <c r="E39" i="103"/>
  <c r="E37" i="103"/>
  <c r="E35" i="103"/>
  <c r="E33" i="103"/>
  <c r="E31" i="103"/>
  <c r="E29" i="103"/>
  <c r="O35" i="38"/>
  <c r="I65" i="75"/>
  <c r="J65" i="75"/>
  <c r="AP92" i="75"/>
  <c r="AR92" i="75" s="1"/>
  <c r="AQ92" i="75"/>
  <c r="AR89" i="75" s="1"/>
  <c r="W84" i="75"/>
  <c r="L12" i="75"/>
  <c r="S66" i="75"/>
  <c r="W65" i="75"/>
  <c r="M64" i="47"/>
  <c r="T95" i="75"/>
  <c r="U95" i="75"/>
  <c r="D79" i="83"/>
  <c r="Z23" i="38"/>
  <c r="AF19" i="38" s="1"/>
  <c r="K25" i="75" s="1"/>
  <c r="W111" i="75"/>
  <c r="U66" i="75"/>
  <c r="X65" i="75"/>
  <c r="G58" i="75"/>
  <c r="J6" i="102" s="1"/>
  <c r="J7" i="102" s="1"/>
  <c r="F64" i="90"/>
  <c r="J36" i="40"/>
  <c r="O111" i="75"/>
  <c r="H28" i="47"/>
  <c r="H54" i="47" s="1"/>
  <c r="L7" i="75" s="1"/>
  <c r="AO19" i="74"/>
  <c r="P84" i="75"/>
  <c r="P69" i="75"/>
  <c r="I66" i="75"/>
  <c r="U72" i="75"/>
  <c r="Q29" i="75"/>
  <c r="AD92" i="75"/>
  <c r="AG92" i="75" s="1"/>
  <c r="P111" i="75"/>
  <c r="J97" i="75"/>
  <c r="L97" i="75" s="1"/>
  <c r="L62" i="47"/>
  <c r="L64" i="47" s="1"/>
  <c r="S4" i="101"/>
  <c r="M35" i="38"/>
  <c r="O28" i="90"/>
  <c r="J66" i="75"/>
  <c r="V32" i="74"/>
  <c r="V33" i="74" s="1"/>
  <c r="E47" i="40"/>
  <c r="D58" i="83" s="1"/>
  <c r="H58" i="83" s="1"/>
  <c r="O77" i="75"/>
  <c r="F58" i="83"/>
  <c r="O46" i="40"/>
  <c r="J77" i="75"/>
  <c r="F24" i="90"/>
  <c r="Q24" i="90" s="1"/>
  <c r="K84" i="75"/>
  <c r="M84" i="75"/>
  <c r="E25" i="103"/>
  <c r="Y65" i="75"/>
  <c r="M53" i="103"/>
  <c r="Q53" i="103"/>
  <c r="BD92" i="75" s="1"/>
  <c r="L10" i="103"/>
  <c r="G5" i="75" s="1"/>
  <c r="C6" i="102" s="1"/>
  <c r="C7" i="102" s="1"/>
  <c r="T4" i="101"/>
  <c r="E46" i="40"/>
  <c r="AC46" i="40"/>
  <c r="F57" i="83"/>
  <c r="H111" i="75"/>
  <c r="H5" i="75"/>
  <c r="K8" i="75"/>
  <c r="M81" i="75"/>
  <c r="H81" i="75"/>
  <c r="J81" i="75"/>
  <c r="AD65" i="75"/>
  <c r="Q97" i="75"/>
  <c r="S97" i="75" s="1"/>
  <c r="Y111" i="75"/>
  <c r="I111" i="75" s="1"/>
  <c r="G110" i="75" s="1"/>
  <c r="AZ6" i="102" s="1"/>
  <c r="AZ7" i="102" s="1"/>
  <c r="K54" i="47"/>
  <c r="F37" i="90"/>
  <c r="L25" i="75"/>
  <c r="I18" i="75"/>
  <c r="M18" i="75" s="1"/>
  <c r="O18" i="75" s="1"/>
  <c r="I33" i="40"/>
  <c r="AD25" i="74"/>
  <c r="AG19" i="74"/>
  <c r="O46" i="38"/>
  <c r="M46" i="38" s="1"/>
  <c r="G46" i="38" s="1"/>
  <c r="O38" i="38"/>
  <c r="M38" i="38"/>
  <c r="G38" i="38" s="1"/>
  <c r="AF65" i="75"/>
  <c r="AD19" i="74"/>
  <c r="O30" i="38"/>
  <c r="O29" i="38"/>
  <c r="F39" i="90"/>
  <c r="Q37" i="90"/>
  <c r="U46" i="40"/>
  <c r="G102" i="40"/>
  <c r="F60" i="90" s="1"/>
  <c r="D57" i="83"/>
  <c r="G8" i="75"/>
  <c r="E6" i="102" s="1"/>
  <c r="E7" i="102" s="1"/>
  <c r="N7" i="75"/>
  <c r="G80" i="75"/>
  <c r="AM6" i="102"/>
  <c r="AM7" i="102" s="1"/>
  <c r="AN21" i="74"/>
  <c r="AN25" i="74" s="1"/>
  <c r="AP19" i="74"/>
  <c r="Q84" i="75" s="1"/>
  <c r="O8" i="75"/>
  <c r="H19" i="38"/>
  <c r="E6" i="83" s="1"/>
  <c r="I38" i="75"/>
  <c r="H38" i="75"/>
  <c r="F49" i="90"/>
  <c r="F48" i="90"/>
  <c r="I51" i="75"/>
  <c r="N51" i="75"/>
  <c r="H13" i="40"/>
  <c r="E33" i="83"/>
  <c r="H34" i="75"/>
  <c r="N31" i="75"/>
  <c r="G33" i="75" s="1"/>
  <c r="AD6" i="102" s="1"/>
  <c r="AD7" i="102" s="1"/>
  <c r="I41" i="75"/>
  <c r="G40" i="75" s="1"/>
  <c r="AG6" i="102" s="1"/>
  <c r="AG7" i="102" s="1"/>
  <c r="H54" i="75"/>
  <c r="H7" i="40"/>
  <c r="I17" i="40" s="1"/>
  <c r="U38" i="75"/>
  <c r="D29" i="83"/>
  <c r="I4" i="92"/>
  <c r="F45" i="90"/>
  <c r="F44" i="90" s="1"/>
  <c r="C6" i="90"/>
  <c r="E34" i="83"/>
  <c r="D34" i="83" s="1"/>
  <c r="D33" i="83"/>
  <c r="I23" i="40"/>
  <c r="I27" i="40"/>
  <c r="H43" i="75"/>
  <c r="H45" i="75" s="1"/>
  <c r="J45" i="75" s="1"/>
  <c r="I9" i="40"/>
  <c r="I26" i="40"/>
  <c r="I18" i="40"/>
  <c r="I12" i="40"/>
  <c r="I13" i="40"/>
  <c r="I21" i="40"/>
  <c r="H47" i="75"/>
  <c r="H49" i="75" s="1"/>
  <c r="K49" i="75" s="1"/>
  <c r="I15" i="40"/>
  <c r="I14" i="40"/>
  <c r="I29" i="40"/>
  <c r="I19" i="40"/>
  <c r="O31" i="90"/>
  <c r="F31" i="90"/>
  <c r="Q33" i="90"/>
  <c r="L32" i="74"/>
  <c r="L33" i="74"/>
  <c r="I33" i="74"/>
  <c r="G36" i="38"/>
  <c r="F29" i="90"/>
  <c r="P29" i="90"/>
  <c r="P30" i="38"/>
  <c r="P29" i="38" s="1"/>
  <c r="P25" i="90"/>
  <c r="G19" i="75"/>
  <c r="W6" i="102" s="1"/>
  <c r="W7" i="102"/>
  <c r="G44" i="38"/>
  <c r="G43" i="38"/>
  <c r="G39" i="38"/>
  <c r="O51" i="75"/>
  <c r="P51" i="75"/>
  <c r="Q38" i="75"/>
  <c r="P38" i="75"/>
  <c r="J47" i="75"/>
  <c r="M49" i="75"/>
  <c r="F10" i="83"/>
  <c r="N27" i="75"/>
  <c r="I6" i="90"/>
  <c r="P72" i="75"/>
  <c r="Q72" i="75"/>
  <c r="T72" i="75" s="1"/>
  <c r="I74" i="75"/>
  <c r="J74" i="75" s="1"/>
  <c r="G37" i="38"/>
  <c r="F30" i="90" s="1"/>
  <c r="P30" i="90"/>
  <c r="G34" i="38"/>
  <c r="F27" i="90"/>
  <c r="Q27" i="90" s="1"/>
  <c r="O27" i="90"/>
  <c r="O25" i="90"/>
  <c r="G32" i="38"/>
  <c r="M30" i="38"/>
  <c r="M29" i="38" s="1"/>
  <c r="N77" i="75" s="1"/>
  <c r="Q77" i="75" s="1"/>
  <c r="Q39" i="90"/>
  <c r="G45" i="38"/>
  <c r="G42" i="38"/>
  <c r="K18" i="75"/>
  <c r="G17" i="75"/>
  <c r="V6" i="102" s="1"/>
  <c r="V7" i="102" s="1"/>
  <c r="G35" i="38"/>
  <c r="F28" i="90"/>
  <c r="U4" i="92"/>
  <c r="G30" i="38"/>
  <c r="F25" i="90"/>
  <c r="L48" i="42"/>
  <c r="H56" i="75"/>
  <c r="G55" i="75" s="1"/>
  <c r="AJ6" i="102" s="1"/>
  <c r="AJ7" i="102" s="1"/>
  <c r="B6" i="90"/>
  <c r="F5" i="83"/>
  <c r="D10" i="83"/>
  <c r="Q31" i="90"/>
  <c r="O29" i="75"/>
  <c r="P29" i="75" s="1"/>
  <c r="G28" i="75" s="1"/>
  <c r="O23" i="90"/>
  <c r="O32" i="90" s="1"/>
  <c r="Q30" i="90"/>
  <c r="B7" i="90"/>
  <c r="E7" i="90"/>
  <c r="H7" i="90"/>
  <c r="Q25" i="90"/>
  <c r="AB6" i="102" l="1"/>
  <c r="AB7" i="102" s="1"/>
  <c r="F7" i="90"/>
  <c r="D7" i="90"/>
  <c r="G7" i="90"/>
  <c r="C7" i="90"/>
  <c r="G29" i="38"/>
  <c r="Q28" i="90"/>
  <c r="I7" i="90"/>
  <c r="P23" i="90"/>
  <c r="P32" i="90" s="1"/>
  <c r="O27" i="75"/>
  <c r="P27" i="75" s="1"/>
  <c r="Q29" i="90"/>
  <c r="G48" i="90"/>
  <c r="E5" i="83"/>
  <c r="D5" i="83" s="1"/>
  <c r="D6" i="83"/>
  <c r="U97" i="75"/>
  <c r="T97" i="75"/>
  <c r="M8" i="75"/>
  <c r="P7" i="75"/>
  <c r="G6" i="75" s="1"/>
  <c r="D6" i="102" s="1"/>
  <c r="D7" i="102" s="1"/>
  <c r="O32" i="74"/>
  <c r="F21" i="83"/>
  <c r="D21" i="83" s="1"/>
  <c r="G50" i="75"/>
  <c r="AH6" i="102" s="1"/>
  <c r="AH7" i="102" s="1"/>
  <c r="G62" i="90"/>
  <c r="G61" i="90"/>
  <c r="G57" i="90"/>
  <c r="G52" i="90"/>
  <c r="G64" i="90"/>
  <c r="G46" i="90"/>
  <c r="G45" i="90"/>
  <c r="G67" i="90"/>
  <c r="G58" i="90"/>
  <c r="G49" i="90"/>
  <c r="G44" i="90"/>
  <c r="G54" i="90"/>
  <c r="G56" i="90"/>
  <c r="G51" i="90"/>
  <c r="G53" i="90"/>
  <c r="G66" i="90"/>
  <c r="G47" i="90"/>
  <c r="G68" i="90"/>
  <c r="G63" i="90"/>
  <c r="G50" i="90"/>
  <c r="G60" i="90"/>
  <c r="M97" i="75"/>
  <c r="G96" i="75" s="1"/>
  <c r="AS6" i="102" s="1"/>
  <c r="AS7" i="102" s="1"/>
  <c r="N97" i="75"/>
  <c r="AK89" i="75"/>
  <c r="G19" i="38"/>
  <c r="D28" i="83"/>
  <c r="I8" i="40"/>
  <c r="I20" i="40"/>
  <c r="I11" i="40"/>
  <c r="I22" i="40"/>
  <c r="I24" i="40"/>
  <c r="M12" i="75"/>
  <c r="I10" i="40"/>
  <c r="I25" i="40"/>
  <c r="I16" i="40"/>
  <c r="I28" i="40"/>
  <c r="H25" i="75"/>
  <c r="F13" i="90"/>
  <c r="V38" i="75"/>
  <c r="W38" i="75" s="1"/>
  <c r="G37" i="75" s="1"/>
  <c r="AF6" i="102" s="1"/>
  <c r="AF7" i="102" s="1"/>
  <c r="AD10" i="74"/>
  <c r="AG65" i="75"/>
  <c r="M15" i="75"/>
  <c r="H16" i="75" s="1"/>
  <c r="G14" i="75" s="1"/>
  <c r="U6" i="102" s="1"/>
  <c r="U7" i="102" s="1"/>
  <c r="AD22" i="74"/>
  <c r="N69" i="74"/>
  <c r="P69" i="74" s="1"/>
  <c r="H65" i="75" s="1"/>
  <c r="G64" i="75" s="1"/>
  <c r="F20" i="83"/>
  <c r="L23" i="90"/>
  <c r="I27" i="75"/>
  <c r="D70" i="40"/>
  <c r="E107" i="40" s="1"/>
  <c r="V46" i="40"/>
  <c r="T47" i="40" s="1"/>
  <c r="F42" i="40"/>
  <c r="D42" i="40" s="1"/>
  <c r="D41" i="40" s="1"/>
  <c r="D46" i="40"/>
  <c r="E63" i="83"/>
  <c r="G42" i="40"/>
  <c r="E57" i="83"/>
  <c r="H57" i="83" s="1"/>
  <c r="AA46" i="40"/>
  <c r="U47" i="40" s="1"/>
  <c r="U48" i="40" s="1"/>
  <c r="H35" i="90"/>
  <c r="Q35" i="90"/>
  <c r="Z65" i="75"/>
  <c r="F10" i="74"/>
  <c r="AF64" i="75"/>
  <c r="AB64" i="75" s="1"/>
  <c r="U76" i="75"/>
  <c r="AE64" i="75"/>
  <c r="AA64" i="75" s="1"/>
  <c r="T76" i="75"/>
  <c r="H42" i="40"/>
  <c r="J54" i="47"/>
  <c r="H109" i="75"/>
  <c r="G108" i="75" s="1"/>
  <c r="AY6" i="102" s="1"/>
  <c r="AY7" i="102" s="1"/>
  <c r="M86" i="75"/>
  <c r="L89" i="75"/>
  <c r="M89" i="75" s="1"/>
  <c r="I86" i="75"/>
  <c r="O70" i="40"/>
  <c r="AA19" i="38"/>
  <c r="Q42" i="40"/>
  <c r="E38" i="103"/>
  <c r="E30" i="103"/>
  <c r="AL6" i="102" l="1"/>
  <c r="AL7" i="102" s="1"/>
  <c r="G68" i="75"/>
  <c r="N15" i="40"/>
  <c r="O74" i="75" s="1"/>
  <c r="X29" i="74"/>
  <c r="F63" i="83"/>
  <c r="K34" i="90"/>
  <c r="E70" i="40"/>
  <c r="O42" i="40"/>
  <c r="J86" i="75"/>
  <c r="I89" i="75"/>
  <c r="J89" i="75" s="1"/>
  <c r="G88" i="75" s="1"/>
  <c r="AP6" i="102" s="1"/>
  <c r="AP7" i="102" s="1"/>
  <c r="AM11" i="74"/>
  <c r="AM15" i="74" s="1"/>
  <c r="AO10" i="74"/>
  <c r="N84" i="75" s="1"/>
  <c r="I54" i="75"/>
  <c r="G53" i="75" s="1"/>
  <c r="AI6" i="102" s="1"/>
  <c r="AI7" i="102" s="1"/>
  <c r="E52" i="83"/>
  <c r="E50" i="83"/>
  <c r="E42" i="40"/>
  <c r="W48" i="40"/>
  <c r="G85" i="75"/>
  <c r="AO6" i="102" s="1"/>
  <c r="AO7" i="102" s="1"/>
  <c r="L32" i="90"/>
  <c r="K22" i="90"/>
  <c r="AN11" i="74"/>
  <c r="AN15" i="74" s="1"/>
  <c r="AP10" i="74"/>
  <c r="O84" i="75" s="1"/>
  <c r="AY92" i="75"/>
  <c r="BB92" i="75" s="1"/>
  <c r="G91" i="75" s="1"/>
  <c r="AQ6" i="102" s="1"/>
  <c r="AQ7" i="102" s="1"/>
  <c r="V95" i="75"/>
  <c r="Y95" i="75" s="1"/>
  <c r="G94" i="75" s="1"/>
  <c r="AR6" i="102" s="1"/>
  <c r="AR7" i="102" s="1"/>
  <c r="N25" i="75"/>
  <c r="O25" i="75" s="1"/>
  <c r="G25" i="75" s="1"/>
  <c r="Z6" i="102" s="1"/>
  <c r="Z7" i="102" s="1"/>
  <c r="Y7" i="102" s="1"/>
  <c r="AB95" i="75"/>
  <c r="AE95" i="75" s="1"/>
  <c r="F23" i="90"/>
  <c r="K10" i="75"/>
  <c r="D17" i="83"/>
  <c r="M32" i="74"/>
  <c r="F74" i="90"/>
  <c r="Y32" i="74"/>
  <c r="E102" i="40"/>
  <c r="T46" i="40"/>
  <c r="T48" i="40"/>
  <c r="J27" i="75"/>
  <c r="G26" i="75"/>
  <c r="AA6" i="102" s="1"/>
  <c r="AA7" i="102" s="1"/>
  <c r="D20" i="83"/>
  <c r="F17" i="83"/>
  <c r="AE7" i="102"/>
  <c r="F14" i="90"/>
  <c r="E71" i="83"/>
  <c r="E67" i="83"/>
  <c r="O33" i="74"/>
  <c r="AF34" i="74"/>
  <c r="E69" i="83" l="1"/>
  <c r="G11" i="90"/>
  <c r="G17" i="90"/>
  <c r="G12" i="90"/>
  <c r="F15" i="90"/>
  <c r="G15" i="90" s="1"/>
  <c r="G16" i="90"/>
  <c r="E101" i="40"/>
  <c r="G75" i="90"/>
  <c r="E76" i="90"/>
  <c r="F76" i="90"/>
  <c r="H75" i="90"/>
  <c r="K74" i="90"/>
  <c r="F32" i="90"/>
  <c r="Q23" i="90"/>
  <c r="G13" i="90"/>
  <c r="R32" i="74"/>
  <c r="R33" i="74" s="1"/>
  <c r="Y33" i="74"/>
  <c r="M33" i="74"/>
  <c r="M34" i="74"/>
  <c r="O10" i="75"/>
  <c r="Q10" i="75" s="1"/>
  <c r="M10" i="75"/>
  <c r="D63" i="83"/>
  <c r="H63" i="83" s="1"/>
  <c r="G107" i="40"/>
  <c r="F34" i="90"/>
  <c r="K6" i="102"/>
  <c r="K7" i="102" s="1"/>
  <c r="G71" i="75"/>
  <c r="N6" i="102" s="1"/>
  <c r="N7" i="102" s="1"/>
  <c r="AF35" i="74"/>
  <c r="R77" i="75"/>
  <c r="E73" i="83"/>
  <c r="D52" i="83"/>
  <c r="E41" i="40"/>
  <c r="D53" i="83"/>
  <c r="G83" i="75"/>
  <c r="AN6" i="102" s="1"/>
  <c r="AN7" i="102" s="1"/>
  <c r="AK7" i="102" s="1"/>
  <c r="F52" i="83"/>
  <c r="F50" i="83"/>
  <c r="K74" i="75"/>
  <c r="L74" i="75" s="1"/>
  <c r="K15" i="40"/>
  <c r="C9" i="102" l="1"/>
  <c r="H34" i="90"/>
  <c r="H22" i="90" s="1"/>
  <c r="Q34" i="90"/>
  <c r="G34" i="90"/>
  <c r="AG33" i="74"/>
  <c r="S77" i="75" s="1"/>
  <c r="G25" i="90"/>
  <c r="G28" i="90"/>
  <c r="G31" i="90"/>
  <c r="G36" i="90"/>
  <c r="G26" i="90"/>
  <c r="G23" i="90"/>
  <c r="G37" i="90"/>
  <c r="G35" i="90"/>
  <c r="G38" i="90"/>
  <c r="F101" i="40"/>
  <c r="F106" i="40"/>
  <c r="F103" i="40"/>
  <c r="F104" i="40"/>
  <c r="F105" i="40"/>
  <c r="F107" i="40"/>
  <c r="N12" i="75"/>
  <c r="P12" i="75" s="1"/>
  <c r="Q12" i="75" s="1"/>
  <c r="D50" i="83"/>
  <c r="K45" i="75"/>
  <c r="M45" i="75" s="1"/>
  <c r="N45" i="75" s="1"/>
  <c r="I43" i="75"/>
  <c r="K43" i="75" s="1"/>
  <c r="L43" i="75" s="1"/>
  <c r="I47" i="75"/>
  <c r="D51" i="83"/>
  <c r="G73" i="75"/>
  <c r="O6" i="102" s="1"/>
  <c r="O7" i="102" s="1"/>
  <c r="H52" i="83"/>
  <c r="F65" i="90"/>
  <c r="H107" i="40"/>
  <c r="G101" i="40"/>
  <c r="G9" i="75"/>
  <c r="F6" i="102" s="1"/>
  <c r="F7" i="102" s="1"/>
  <c r="G29" i="90"/>
  <c r="G30" i="90"/>
  <c r="G39" i="90"/>
  <c r="G27" i="90"/>
  <c r="G33" i="90"/>
  <c r="Q32" i="90"/>
  <c r="G32" i="90"/>
  <c r="F22" i="90"/>
  <c r="G24" i="90"/>
  <c r="E75" i="90"/>
  <c r="F102" i="40"/>
  <c r="L49" i="75" l="1"/>
  <c r="K47" i="75"/>
  <c r="G44" i="75"/>
  <c r="R6" i="102" s="1"/>
  <c r="R7" i="102" s="1"/>
  <c r="O45" i="75"/>
  <c r="G11" i="75"/>
  <c r="G6" i="102" s="1"/>
  <c r="G7" i="102" s="1"/>
  <c r="Q14" i="75"/>
  <c r="G22" i="90"/>
  <c r="Q22" i="90"/>
  <c r="H102" i="40"/>
  <c r="H104" i="40"/>
  <c r="H103" i="40"/>
  <c r="H105" i="40"/>
  <c r="H101" i="40"/>
  <c r="H106" i="40"/>
  <c r="G65" i="90"/>
  <c r="F59" i="90"/>
  <c r="F71" i="83"/>
  <c r="D71" i="83"/>
  <c r="D73" i="83"/>
  <c r="G42" i="75"/>
  <c r="Q6" i="102" s="1"/>
  <c r="Q7" i="102" s="1"/>
  <c r="M43" i="75"/>
  <c r="F67" i="83"/>
  <c r="D69" i="83"/>
  <c r="D67" i="83"/>
  <c r="G76" i="75"/>
  <c r="P6" i="102" s="1"/>
  <c r="P7" i="102" s="1"/>
  <c r="I7" i="102" s="1"/>
  <c r="F73" i="83" l="1"/>
  <c r="G73" i="83" s="1"/>
  <c r="D74" i="83" s="1"/>
  <c r="G71" i="83"/>
  <c r="D72" i="83" s="1"/>
  <c r="L47" i="75"/>
  <c r="N49" i="75"/>
  <c r="O49" i="75" s="1"/>
  <c r="F69" i="83"/>
  <c r="G69" i="83" s="1"/>
  <c r="D70" i="83" s="1"/>
  <c r="G67" i="83"/>
  <c r="D68" i="83" s="1"/>
  <c r="G59" i="90"/>
  <c r="F69" i="90"/>
  <c r="G69" i="90" s="1"/>
  <c r="G48" i="75" l="1"/>
  <c r="T6" i="102" s="1"/>
  <c r="T7" i="102" s="1"/>
  <c r="B9" i="102" s="1"/>
  <c r="P49" i="75"/>
  <c r="M47" i="75"/>
  <c r="G46" i="75"/>
  <c r="S6" i="102" s="1"/>
  <c r="S7" i="102" s="1"/>
  <c r="A9" i="102" s="1"/>
  <c r="B7" i="102" s="1"/>
  <c r="K2" i="75" s="1"/>
</calcChain>
</file>

<file path=xl/comments1.xml><?xml version="1.0" encoding="utf-8"?>
<comments xmlns="http://schemas.openxmlformats.org/spreadsheetml/2006/main">
  <authors>
    <author>Загрядська Олена Валеріївна</author>
  </authors>
  <commentList>
    <comment ref="V15" authorId="0">
      <text>
        <r>
          <rPr>
            <sz val="20"/>
            <color indexed="81"/>
            <rFont val="Tahoma"/>
            <family val="2"/>
            <charset val="204"/>
          </rPr>
          <t xml:space="preserve">дані переносяться з таблиці Звіт Пацієнт
</t>
        </r>
      </text>
    </comment>
    <comment ref="Y15" authorId="0">
      <text>
        <r>
          <rPr>
            <sz val="20"/>
            <color indexed="81"/>
            <rFont val="Tahoma"/>
            <family val="2"/>
            <charset val="204"/>
          </rPr>
          <t>дані переносяться з таблиці Звіт Пацієнт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sz val="22"/>
            <color indexed="81"/>
            <rFont val="Times New Roman"/>
            <family val="1"/>
            <charset val="204"/>
          </rPr>
          <t>Дані переносяться з таблиці Звіт Пацієнт</t>
        </r>
      </text>
    </comment>
    <comment ref="R21" authorId="0">
      <text>
        <r>
          <rPr>
            <sz val="20"/>
            <color indexed="81"/>
            <rFont val="Tahoma"/>
            <family val="2"/>
            <charset val="204"/>
          </rPr>
          <t>Дані переносяться з таблиці Звіт Пацієнт</t>
        </r>
      </text>
    </comment>
  </commentList>
</comments>
</file>

<file path=xl/comments2.xml><?xml version="1.0" encoding="utf-8"?>
<comments xmlns="http://schemas.openxmlformats.org/spreadsheetml/2006/main">
  <authors>
    <author>Загрядська Олена Валеріївна</author>
  </authors>
  <commentList>
    <comment ref="A35" authorId="0">
      <text>
        <r>
          <rPr>
            <sz val="14"/>
            <color indexed="81"/>
            <rFont val="Tahoma"/>
            <family val="2"/>
            <charset val="204"/>
          </rPr>
          <t>за умови обліку цієї господарскої операції на 37 рахунку, дані необхідно проставити у р.1155.5 Балансу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47" authorId="0">
      <text>
        <r>
          <rPr>
            <sz val="16"/>
            <color indexed="81"/>
            <rFont val="Tahoma"/>
            <family val="2"/>
            <charset val="204"/>
          </rPr>
          <t>за умови обліку цієї господарскої операції на 36 рахунку, дані необхідно проставити у р.1125.3 Балансу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<sst xmlns="http://schemas.openxmlformats.org/spreadsheetml/2006/main" count="3252" uniqueCount="2103">
  <si>
    <t>Ідентифікаційний код ЄДРПОУ</t>
  </si>
  <si>
    <t>код КОПФГ</t>
  </si>
  <si>
    <t>Термін подання</t>
  </si>
  <si>
    <t>№ 1-НС (щоквартальна)</t>
  </si>
  <si>
    <t>Повне найменування суб’єкта господарювання</t>
  </si>
  <si>
    <t>Електронна пошта</t>
  </si>
  <si>
    <t>№ з/п</t>
  </si>
  <si>
    <t>Найменування показника</t>
  </si>
  <si>
    <t>Звітний період</t>
  </si>
  <si>
    <t>1</t>
  </si>
  <si>
    <t>Від надання медичних та немедичних послуг за кошти фізичних і юридичних осіб</t>
  </si>
  <si>
    <t>Від отримання страхових виплат</t>
  </si>
  <si>
    <t>Від надання майна в оренду</t>
  </si>
  <si>
    <t>Благодійна допомога</t>
  </si>
  <si>
    <t>Лікарі</t>
  </si>
  <si>
    <t>Середній медичний персонал</t>
  </si>
  <si>
    <t>Молодший медичний персонал</t>
  </si>
  <si>
    <t>Нарахування на оплату праці</t>
  </si>
  <si>
    <t>Матеріальні витрати</t>
  </si>
  <si>
    <t>Лікарські засоби</t>
  </si>
  <si>
    <t xml:space="preserve">Продукти харчування </t>
  </si>
  <si>
    <t>Будівельні матеріали</t>
  </si>
  <si>
    <t>Паливно-мастильні матеріали</t>
  </si>
  <si>
    <t>М’який інвентар</t>
  </si>
  <si>
    <t>Господарські матеріали</t>
  </si>
  <si>
    <t>Предмети, матеріали та інвентар</t>
  </si>
  <si>
    <t>Інші операційні витрати</t>
  </si>
  <si>
    <t>Видатки на відрядження</t>
  </si>
  <si>
    <t>Підготовка (перепідготовка) кадрів  та підвищення кваліфікації</t>
  </si>
  <si>
    <t>Зовнішні послуги з медичної допомоги</t>
  </si>
  <si>
    <t>Зв'язок, інтернет</t>
  </si>
  <si>
    <t xml:space="preserve">Інші послуги </t>
  </si>
  <si>
    <t xml:space="preserve">Керівники </t>
  </si>
  <si>
    <t>Керівники структурних підрозділів</t>
  </si>
  <si>
    <t>Соціальне забезпечення</t>
  </si>
  <si>
    <t>Амортизація</t>
  </si>
  <si>
    <t>осіб</t>
  </si>
  <si>
    <t>№з/п</t>
  </si>
  <si>
    <t>Середня кількість працівників, всього, у тому числі</t>
  </si>
  <si>
    <t>середня кількість зовнішніх сумісників</t>
  </si>
  <si>
    <t>середня кількість працюючих за цивільно-правовими договорами</t>
  </si>
  <si>
    <t>Пожежна охорона</t>
  </si>
  <si>
    <t>Інші матеріальні витрати</t>
  </si>
  <si>
    <t>Податки</t>
  </si>
  <si>
    <t>Банківське обслуговування</t>
  </si>
  <si>
    <t>Інші витрати</t>
  </si>
  <si>
    <t>Запаси</t>
  </si>
  <si>
    <t>Купівельні напівфабрикати та комплектуючі вироби</t>
  </si>
  <si>
    <t>Тара й тарні матеріали</t>
  </si>
  <si>
    <t>Матеріали, передані в переробку</t>
  </si>
  <si>
    <t>Запасні частини</t>
  </si>
  <si>
    <t>Інші матеріали</t>
  </si>
  <si>
    <t>Доходи майбутніх періодів</t>
  </si>
  <si>
    <t>Охорона</t>
  </si>
  <si>
    <t>Неопераційні витрати</t>
  </si>
  <si>
    <t>Код рядка</t>
  </si>
  <si>
    <t xml:space="preserve"> 2.1</t>
  </si>
  <si>
    <t xml:space="preserve"> 2.2</t>
  </si>
  <si>
    <t xml:space="preserve"> 2.1.1</t>
  </si>
  <si>
    <t xml:space="preserve"> 2.1.2</t>
  </si>
  <si>
    <t xml:space="preserve"> 2.1.3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</si>
  <si>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</si>
  <si>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</si>
  <si>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</si>
  <si>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</si>
  <si>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</si>
  <si>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</si>
  <si>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</si>
  <si>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3.1</t>
  </si>
  <si>
    <t xml:space="preserve"> 3.2</t>
  </si>
  <si>
    <t xml:space="preserve"> 3.3</t>
  </si>
  <si>
    <t xml:space="preserve"> 3.4</t>
  </si>
  <si>
    <t xml:space="preserve"> 3.1.1</t>
  </si>
  <si>
    <t xml:space="preserve"> 3.1.2</t>
  </si>
  <si>
    <t xml:space="preserve"> 3.1.3</t>
  </si>
  <si>
    <t xml:space="preserve"> 3.2.1</t>
  </si>
  <si>
    <t xml:space="preserve"> 3.2.2</t>
  </si>
  <si>
    <t xml:space="preserve"> 3.2.3</t>
  </si>
  <si>
    <t xml:space="preserve"> 3.4.1</t>
  </si>
  <si>
    <t xml:space="preserve"> 3.4.2</t>
  </si>
  <si>
    <t>грошові кошти</t>
  </si>
  <si>
    <t>2</t>
  </si>
  <si>
    <t xml:space="preserve"> 2.1.4</t>
  </si>
  <si>
    <t xml:space="preserve"> 2.1.5</t>
  </si>
  <si>
    <t xml:space="preserve">Місцезнаходження (юридична адреса)
______________________________________________________________________________________________________________________________________________________
№ будинку /корпусу, № квартири /офісу)
</t>
  </si>
  <si>
    <t>Адреса здійснення діяльності, щодо якої подається форма звітності (фактична адреса)</t>
  </si>
  <si>
    <t>Відповідний період минулого року</t>
  </si>
  <si>
    <t>№ 
з/п</t>
  </si>
  <si>
    <t>1.1.</t>
  </si>
  <si>
    <t>1.2.</t>
  </si>
  <si>
    <t>1.3.</t>
  </si>
  <si>
    <t>Вироби медичного призначення та допоміжні засоби слуху, зору, руху, засоби протезування для кардіології, ендопротезів, інші протези тощо</t>
  </si>
  <si>
    <t>Дохід від реалізаціі, всього</t>
  </si>
  <si>
    <t>Аванси</t>
  </si>
  <si>
    <t>Оплати</t>
  </si>
  <si>
    <t>Актив</t>
  </si>
  <si>
    <t>На початок звітного періоду</t>
  </si>
  <si>
    <t>На кінець звітного періоду</t>
  </si>
  <si>
    <t>Нематеріальні активи</t>
  </si>
  <si>
    <t xml:space="preserve">    первісна вартість 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</si>
  <si>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</si>
  <si>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</si>
  <si>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</si>
  <si>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</si>
  <si>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які обліковуються за методом участі в капіталі інших підприємств</t>
  </si>
  <si>
    <t xml:space="preserve">інші фінансові інвестиції </t>
  </si>
  <si>
    <t xml:space="preserve">Довгострокова дебіторська заборгованість </t>
  </si>
  <si>
    <t xml:space="preserve">Відстрочені податкові активи </t>
  </si>
  <si>
    <t xml:space="preserve">Інші необоротні активи </t>
  </si>
  <si>
    <t xml:space="preserve">Усього за розділом I </t>
  </si>
  <si>
    <t xml:space="preserve">Поточні біологічні активи </t>
  </si>
  <si>
    <t xml:space="preserve">    за виданими авансами</t>
  </si>
  <si>
    <t xml:space="preserve">    з бюджетом</t>
  </si>
  <si>
    <t xml:space="preserve">    у тому числі з податку на прибуток</t>
  </si>
  <si>
    <t xml:space="preserve">Поточні фінансові інвестиції </t>
  </si>
  <si>
    <t xml:space="preserve">Гроші та їх еквіваленти </t>
  </si>
  <si>
    <t>Витрати майбутніх періодів</t>
  </si>
  <si>
    <t xml:space="preserve">Інші оборотні активи </t>
  </si>
  <si>
    <t xml:space="preserve">Усього за розділом II </t>
  </si>
  <si>
    <t>III. Необоротні активи, утримувані для продажу, та групи вибуття</t>
  </si>
  <si>
    <t xml:space="preserve">Баланс </t>
  </si>
  <si>
    <t>Пасив</t>
  </si>
  <si>
    <t>Капітал у дооцінках</t>
  </si>
  <si>
    <t xml:space="preserve">Додатковий капітал </t>
  </si>
  <si>
    <t xml:space="preserve">Резервний капітал </t>
  </si>
  <si>
    <t xml:space="preserve">Нерозподілений прибуток (непокритий збиток) </t>
  </si>
  <si>
    <t xml:space="preserve">Неоплачений капітал </t>
  </si>
  <si>
    <t xml:space="preserve">Вилучений капітал </t>
  </si>
  <si>
    <t>Усього за розділом I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</si>
  <si>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</si>
  <si>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</si>
  <si>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</si>
  <si>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</si>
  <si>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Усього за розділом II</t>
  </si>
  <si>
    <t xml:space="preserve">Короткострокові кредити банків </t>
  </si>
  <si>
    <t xml:space="preserve">    довгостроковими зобов’язаннями </t>
  </si>
  <si>
    <t xml:space="preserve">    розрахунками з бюджетом</t>
  </si>
  <si>
    <t xml:space="preserve">    розрахунками зі страхування</t>
  </si>
  <si>
    <t>Поточні забезпечення</t>
  </si>
  <si>
    <t>Інші поточні зобов’язання</t>
  </si>
  <si>
    <t>Усього за розділом IІІ</t>
  </si>
  <si>
    <t xml:space="preserve">    товари, роботи, послуги</t>
  </si>
  <si>
    <t>за депонентами</t>
  </si>
  <si>
    <t>за іншими виплатами</t>
  </si>
  <si>
    <t xml:space="preserve">    розрахунками з оплати праці, у тому числі</t>
  </si>
  <si>
    <t>Послуги з харчування</t>
  </si>
  <si>
    <t>Послуги з прання</t>
  </si>
  <si>
    <t>ТО медобладнання</t>
  </si>
  <si>
    <t>Заробітна плата</t>
  </si>
  <si>
    <t>ТО/обслуговування ННМА (ППЗ)</t>
  </si>
  <si>
    <t>ТО ліфти, ПК, оргтехніка, телефони</t>
  </si>
  <si>
    <t>Страхування</t>
  </si>
  <si>
    <t>ТО/сервісне обслуговування/поверка  НМА</t>
  </si>
  <si>
    <t xml:space="preserve"> 1.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</si>
  <si>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</si>
  <si>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</si>
  <si>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</si>
  <si>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</si>
  <si>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</si>
  <si>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 xml:space="preserve"> 1.1.4.1</t>
  </si>
  <si>
    <t xml:space="preserve"> 1.1.4.1.1</t>
  </si>
  <si>
    <t xml:space="preserve"> 1.1.4.1.2</t>
  </si>
  <si>
    <t xml:space="preserve"> 1.1.4.1.3</t>
  </si>
  <si>
    <t xml:space="preserve"> 1.1.4.1.4</t>
  </si>
  <si>
    <t>Медикаменти та перев'язувальні матеріали</t>
  </si>
  <si>
    <t xml:space="preserve"> 1.1.4.2</t>
  </si>
  <si>
    <t xml:space="preserve"> 1.1.4.3</t>
  </si>
  <si>
    <t xml:space="preserve"> 1.1.4.4</t>
  </si>
  <si>
    <t xml:space="preserve"> 1.1.4.5</t>
  </si>
  <si>
    <t xml:space="preserve"> 1.1.4.6</t>
  </si>
  <si>
    <t xml:space="preserve"> 1.1.4.7</t>
  </si>
  <si>
    <t xml:space="preserve"> 1.1.4.8</t>
  </si>
  <si>
    <t xml:space="preserve"> 1.1.4.10</t>
  </si>
  <si>
    <t xml:space="preserve"> 1.1.4.11</t>
  </si>
  <si>
    <t xml:space="preserve"> 1.1.5</t>
  </si>
  <si>
    <t xml:space="preserve"> 1.2</t>
  </si>
  <si>
    <t>Статті витрат</t>
  </si>
  <si>
    <t>https://zakon.rada.gov.ua/laws/show/z1442-05</t>
  </si>
  <si>
    <t xml:space="preserve">З обласного, районного та бюджету місцевого самоврядування </t>
  </si>
  <si>
    <t>Матеріальні витрати </t>
  </si>
  <si>
    <t>Витрати на оплату праці </t>
  </si>
  <si>
    <t>Відрахування на соціальні заходи </t>
  </si>
  <si>
    <t>Амортизація 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</si>
  <si>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</si>
  <si>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</si>
  <si>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</si>
  <si>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Інші операційні витрати </t>
  </si>
  <si>
    <t>Надходження, всього</t>
  </si>
  <si>
    <t>Сировина й матеріали, у тому числі</t>
  </si>
  <si>
    <t xml:space="preserve">Модернізація, модифікація (добудова, реконструкція) </t>
  </si>
  <si>
    <t>Капітальний ремонт</t>
  </si>
  <si>
    <t>Придбання (виготовлення) основних засобів</t>
  </si>
  <si>
    <t>Модернізація, модифікація основних засобів</t>
  </si>
  <si>
    <t>Капітальний ремонт основних засобів</t>
  </si>
  <si>
    <t>Придбання (виготовлення) інших необоротних матеріальних активів</t>
  </si>
  <si>
    <t>Придбання (створення) необоротних нематеріальних активів</t>
  </si>
  <si>
    <t>Модернізація, модифікація  ННМА</t>
  </si>
  <si>
    <t>З державного бюджету (в т.ч. централізовані закупівлі, тощо)</t>
  </si>
  <si>
    <t>Подають</t>
  </si>
  <si>
    <t>Готової продукції</t>
  </si>
  <si>
    <t>Товарів </t>
  </si>
  <si>
    <t>Оплата комунальних послуг та інших  енергоносіїв  (тепло, електроенергія, вода, інше)</t>
  </si>
  <si>
    <t>4.1.</t>
  </si>
  <si>
    <t>4.1.1.</t>
  </si>
  <si>
    <t>4.1.2.</t>
  </si>
  <si>
    <t>4.1.3.</t>
  </si>
  <si>
    <t>4.1.3.1.</t>
  </si>
  <si>
    <t>4.1.4.</t>
  </si>
  <si>
    <t>Витрати за елементами, всього, у тому числі </t>
  </si>
  <si>
    <t>ТО, сервісне обслуговування авто</t>
  </si>
  <si>
    <t>Інші працівники</t>
  </si>
  <si>
    <t>за заробітною платою</t>
  </si>
  <si>
    <t>Інше ТО та обслуговування</t>
  </si>
  <si>
    <t>Виробнича собівартість, всього, у тому числі</t>
  </si>
  <si>
    <t>Додаток до звіту про доходи та витрати
Надходження ПМГ</t>
  </si>
  <si>
    <t>Первинна медична допомога</t>
  </si>
  <si>
    <t>Екстрена медична допомога</t>
  </si>
  <si>
    <t>Хірургічні операції дорослим та дітям у стаціонарних умовах</t>
  </si>
  <si>
    <t>Стаціонарна допомога дорослим та дітям без проведення хірургічних операцій</t>
  </si>
  <si>
    <t>Медична допомога при гострому мозковому інсульті в стаціонарних умовах</t>
  </si>
  <si>
    <t>Медична допомога при гострому інфаркті міокарда</t>
  </si>
  <si>
    <t>Амбулаторна вторинна (спеціалізована) та третинна (високоспеціалізована) медична допомога дорослим та дітям, включаючи медичну реабілітацію та стоматологічну допомогу</t>
  </si>
  <si>
    <t xml:space="preserve">Мамографія </t>
  </si>
  <si>
    <t>Гістероскопія</t>
  </si>
  <si>
    <t>Езофагодуоденоскопія</t>
  </si>
  <si>
    <t>Колоноскопія</t>
  </si>
  <si>
    <t>Цистосокія</t>
  </si>
  <si>
    <t>Бронхоскопія</t>
  </si>
  <si>
    <t>Лікування пацієнтів методом екстракорпорального гемодіалізу в амбулаторних умовах</t>
  </si>
  <si>
    <t>Діагностика та хіміотерапевтичне лікування онкологічних захворювань у дорослих та дітей</t>
  </si>
  <si>
    <t>Діагностика та радіологічне лікування онкологічних захворювань у дорослих та дітей</t>
  </si>
  <si>
    <t>Психіатрична допомога дорослим та дітям</t>
  </si>
  <si>
    <t>Лікування дорослих та дітей із туберкульозом</t>
  </si>
  <si>
    <t>Діагностика, лікування та супровід осіб із ВІЛ</t>
  </si>
  <si>
    <t>Лікування осіб із психічними та поведінковими розладами внаслідок вживання опіоїдів із використанням препаратів замісної підтримувальної терапії</t>
  </si>
  <si>
    <t>Стаціонарна паліативна медична допомога дорослим та дітям</t>
  </si>
  <si>
    <t>Мобільна паліативна медична допомога дорослим і дітям</t>
  </si>
  <si>
    <t>Медична реабілітація немовлят, які народилися передчасно та/або хворими, протягом перших трьох років життя</t>
  </si>
  <si>
    <t>Медична реабілітація дорослих та дітей від трьох років з ураженням опорно-рухового апарату</t>
  </si>
  <si>
    <t>Медична реабілітація дорослих та дітей від трьох років з ураженням нервової системи</t>
  </si>
  <si>
    <t>Медична допомога при пологах</t>
  </si>
  <si>
    <t>Медична допомога новонародженим у складних неонатальних випадках</t>
  </si>
  <si>
    <t>Додаток до звіту про доходи та витрати
Доходи ПМГ</t>
  </si>
  <si>
    <t>Доходи, всього</t>
  </si>
  <si>
    <t>Послуги (крім комунальних)</t>
  </si>
  <si>
    <t xml:space="preserve">    накопичена амортизація (-)</t>
  </si>
  <si>
    <t xml:space="preserve">    знос (-)</t>
  </si>
  <si>
    <t>Всього</t>
  </si>
  <si>
    <t>гривень</t>
  </si>
  <si>
    <t>Адміністративні витрати (92)</t>
  </si>
  <si>
    <t>код статті витрат</t>
  </si>
  <si>
    <t>Готова продукція</t>
  </si>
  <si>
    <t>Товари</t>
  </si>
  <si>
    <t>Роботи та послуги</t>
  </si>
  <si>
    <t>5.1.1.</t>
  </si>
  <si>
    <t>5.1.1.1</t>
  </si>
  <si>
    <t>5.1.1.2</t>
  </si>
  <si>
    <t>5.1.1.3</t>
  </si>
  <si>
    <t xml:space="preserve">Всього </t>
  </si>
  <si>
    <t>Елементи витрат</t>
  </si>
  <si>
    <t>Всього витрати</t>
  </si>
  <si>
    <t>1.</t>
  </si>
  <si>
    <t>4</t>
  </si>
  <si>
    <t>Дохід, всього</t>
  </si>
  <si>
    <r>
      <t>Витрати (</t>
    </r>
    <r>
      <rPr>
        <sz val="14"/>
        <rFont val="Times New Roman"/>
        <family val="1"/>
        <charset val="204"/>
      </rPr>
      <t>без амортизації</t>
    </r>
    <r>
      <rPr>
        <b/>
        <sz val="14"/>
        <rFont val="Times New Roman"/>
        <family val="1"/>
        <charset val="204"/>
      </rPr>
      <t>)</t>
    </r>
  </si>
  <si>
    <t>4.2.</t>
  </si>
  <si>
    <t>4.3.</t>
  </si>
  <si>
    <t>Місцезнаходження (юридична адреса)</t>
  </si>
  <si>
    <t>Нове будівництво</t>
  </si>
  <si>
    <t>I. Необоротні активи</t>
  </si>
  <si>
    <t>Довгострокові фінансові інвестиції:</t>
  </si>
  <si>
    <t>II. Довгострокові зобов’язання і забезпечення</t>
  </si>
  <si>
    <t>IІІ. Поточні зобов’язання і забезпечення</t>
  </si>
  <si>
    <t>Поточна кредиторська заборгованість за:</t>
  </si>
  <si>
    <t xml:space="preserve">II. Оборотні активи </t>
  </si>
  <si>
    <t xml:space="preserve">I. Власний капітал </t>
  </si>
  <si>
    <t xml:space="preserve">Доходи за програмою медичних гарантій за пакетами медичних послуг </t>
  </si>
  <si>
    <t>Виробничі витрати (903)</t>
  </si>
  <si>
    <t>Витрати на виготовлення продукції (для тих, хто виготовляє власну продукцію, яка потім поступає на склад)</t>
  </si>
  <si>
    <t>Надходження за програмою медичних гарантій за пакетами медичних послуг</t>
  </si>
  <si>
    <t>-</t>
  </si>
  <si>
    <t>Питома вага, %</t>
  </si>
  <si>
    <t>продовження</t>
  </si>
  <si>
    <t xml:space="preserve">суб’єкти господарювання, що уклали договір про медичне обслуговування населення за програмою медичних гарантій </t>
  </si>
  <si>
    <t xml:space="preserve"> 1.1.5.1</t>
  </si>
  <si>
    <t xml:space="preserve"> 1.1.5.2</t>
  </si>
  <si>
    <t xml:space="preserve"> 1.1.5.3</t>
  </si>
  <si>
    <t xml:space="preserve"> 1.1.5.4</t>
  </si>
  <si>
    <t xml:space="preserve"> 1.1.5.5</t>
  </si>
  <si>
    <t xml:space="preserve"> 1.1.5.5.1</t>
  </si>
  <si>
    <t xml:space="preserve"> 1.1.5.5.2</t>
  </si>
  <si>
    <t xml:space="preserve"> 1.1.5.5.3</t>
  </si>
  <si>
    <t xml:space="preserve"> 1.1.5.5.4</t>
  </si>
  <si>
    <t xml:space="preserve"> 1.1.5.5.5</t>
  </si>
  <si>
    <t xml:space="preserve"> 1.1.5.6</t>
  </si>
  <si>
    <t xml:space="preserve"> 1.1.5.7</t>
  </si>
  <si>
    <t xml:space="preserve"> 1.1.5.8</t>
  </si>
  <si>
    <t xml:space="preserve"> 1.1.5.9</t>
  </si>
  <si>
    <t xml:space="preserve"> 1.1.5.10</t>
  </si>
  <si>
    <t xml:space="preserve"> 1.1.5.11</t>
  </si>
  <si>
    <t xml:space="preserve"> 1.1.5.12</t>
  </si>
  <si>
    <t xml:space="preserve"> 1.1.5.13</t>
  </si>
  <si>
    <t xml:space="preserve"> 1.1.5.14</t>
  </si>
  <si>
    <t xml:space="preserve"> 1.1.5.15</t>
  </si>
  <si>
    <t>Засоби індивідуального захисту</t>
  </si>
  <si>
    <t>6.</t>
  </si>
  <si>
    <t>6.1.</t>
  </si>
  <si>
    <t>6.2.</t>
  </si>
  <si>
    <t>6.3.</t>
  </si>
  <si>
    <t>6.4.</t>
  </si>
  <si>
    <t>6.5.</t>
  </si>
  <si>
    <t>6.6.</t>
  </si>
  <si>
    <t>середньооблікова кількість штатних працівників*</t>
  </si>
  <si>
    <t>Повернення 
( - )</t>
  </si>
  <si>
    <t>№ 1-НС (квартальна)</t>
  </si>
  <si>
    <t>ІV. Зобов’язання, пов’язані з необоротними активами,  у тому числі утримуваними для продажу та групами вибуття</t>
  </si>
  <si>
    <t xml:space="preserve">
Капітальні інвестиції, всього</t>
  </si>
  <si>
    <t>Робіт та послуг, у тому числі</t>
  </si>
  <si>
    <t>Дебіторська заборгованість за розрахунками:</t>
  </si>
  <si>
    <t xml:space="preserve"> </t>
  </si>
  <si>
    <t>тис. грн.</t>
  </si>
  <si>
    <t xml:space="preserve"> 1.1.4.1.5</t>
  </si>
  <si>
    <t>Дезинфекційні засоби</t>
  </si>
  <si>
    <t>Матеріали сільськогосподарського призначення</t>
  </si>
  <si>
    <t xml:space="preserve">Зайняті у наданні медичних послуг </t>
  </si>
  <si>
    <t>Достатність умови</t>
  </si>
  <si>
    <t>Необхідна</t>
  </si>
  <si>
    <t>Доопрацювання</t>
  </si>
  <si>
    <t>активи на початок</t>
  </si>
  <si>
    <t>пасиви на початок</t>
  </si>
  <si>
    <t>активи на кінець</t>
  </si>
  <si>
    <t>пасиви на кінець</t>
  </si>
  <si>
    <t xml:space="preserve">Доопрацювання </t>
  </si>
  <si>
    <t>витрати</t>
  </si>
  <si>
    <t>індивідуальний аналіз</t>
  </si>
  <si>
    <t>Якщо первісна вартість ОЗ та НМА на початок періоду не дорівнює зносу, то амортизація не дорівнює 0</t>
  </si>
  <si>
    <t>Надходження, придбання ТМЦ, капітальні інвестиції</t>
  </si>
  <si>
    <t>Доходи</t>
  </si>
  <si>
    <t>Витрати</t>
  </si>
  <si>
    <t>Якщо 703ПМГ (Дохід ПМГ)  &gt; 0 то 903 &gt;= 0.5*703 ПМГ</t>
  </si>
  <si>
    <t>Пасиви =Активи  Баланс</t>
  </si>
  <si>
    <t>Достатня</t>
  </si>
  <si>
    <t>36СдК ПМГ  
(розрахункове)</t>
  </si>
  <si>
    <t>681СдК ПМГ 
(розрахункове)</t>
  </si>
  <si>
    <t>р.1.1.1.1. гр. 4 таблиці 7</t>
  </si>
  <si>
    <t>р.1.1.1.3. гр.4 таблиці 7</t>
  </si>
  <si>
    <t>Лікарі - Якщо є видатки у р.1.1.1.3. гр.4 таблиці 7, то має бути чисельність у р.1 гр. 7 "Лікарі" таблиці 8</t>
  </si>
  <si>
    <t>р.1 гр. 7 "Лікарі" таблиці 8</t>
  </si>
  <si>
    <t>р.1.1.1.4. гр.4 таблиці 7</t>
  </si>
  <si>
    <t>р.1 гр. 8 "Середній медичний первсонал" таблиці 8</t>
  </si>
  <si>
    <t>р.1.1.1.5. гр.4 таблиці 7</t>
  </si>
  <si>
    <t>р.1 гр. 9 "Молодший медичний персонал" таблиці 8</t>
  </si>
  <si>
    <t>Середній медичний первсонал - Якщо є видатки у р.1.1.1.4. гр.4 таблиці 7, то має бути чисельність у р.1 гр. 8 "Середній медичний первсонал" таблиці 8</t>
  </si>
  <si>
    <t>Молодший медичний персонал- Якщо є видатки у р.1.1.1.5. гр.4 таблиці 7, то має бути чисельність у р.1 гр.9 "Молодший медичний персонал" таблиці 8</t>
  </si>
  <si>
    <t>сума активи + пасиви на кінець періода не = 0, то ПРАВДА</t>
  </si>
  <si>
    <t xml:space="preserve">Коригування </t>
  </si>
  <si>
    <t>На початок звітного періоду з урахуванням коригування</t>
  </si>
  <si>
    <t>Структура балансу</t>
  </si>
  <si>
    <t>На кінець звітного періоду з урахуванням коригування</t>
  </si>
  <si>
    <t>ПМГ</t>
  </si>
  <si>
    <t>Паливо</t>
  </si>
  <si>
    <t>придбання</t>
  </si>
  <si>
    <t>Середній медичний персонал (в тому числі фельдшери, парамедики)</t>
  </si>
  <si>
    <t>Інші операційні витрати (94)</t>
  </si>
  <si>
    <t>Стаціонарна допомога пацієнтам з гострою респіраторною хворобою COVID-19, спричиненою коронавірусом SARS-CoV-2</t>
  </si>
  <si>
    <t>Екстрена медична допомога пацієнтам з підозрою або встановленим захворюванням на гостру респіраторну хворобу COVID-19, спричинену коронавірусом SARS-CoV-2</t>
  </si>
  <si>
    <t>Медична допомога, яка надається мобільними медичними бригадами, що утворені для реагування на гостру респіраторну хворобу COVID-19, спричинену коронавірусом SARS-CoV-2</t>
  </si>
  <si>
    <t>Стаціонарна медична допомога пацієнтам з гострою респіраторною хворобою COVID-19, спричиненою коронавірусом SARS-CoV-2, яка надається окремими закладами охорони здоров’я протягом квітня 2020 року</t>
  </si>
  <si>
    <t>Відповідний період минулого року 
(всього)</t>
  </si>
  <si>
    <t>Умовна</t>
  </si>
  <si>
    <t>надходження у натуральній формі</t>
  </si>
  <si>
    <t>Інше (грошові кошти та надходження у натуральній формі ) *</t>
  </si>
  <si>
    <t>Отримані як цільове фінансування</t>
  </si>
  <si>
    <t>Дебет</t>
  </si>
  <si>
    <t>Кредит</t>
  </si>
  <si>
    <t xml:space="preserve">Код рядка балансу </t>
  </si>
  <si>
    <t xml:space="preserve"> 4.2.1</t>
  </si>
  <si>
    <t xml:space="preserve"> 4.2.2</t>
  </si>
  <si>
    <t xml:space="preserve"> 4.2.3</t>
  </si>
  <si>
    <t>Інший операційний дохід, всього</t>
  </si>
  <si>
    <t xml:space="preserve"> 4.2.4</t>
  </si>
  <si>
    <t>Неопераційний дохід, всього</t>
  </si>
  <si>
    <t>Т10.1</t>
  </si>
  <si>
    <t>Т10.2</t>
  </si>
  <si>
    <t>Т10.1.1</t>
  </si>
  <si>
    <t>Т10.1.2</t>
  </si>
  <si>
    <t>Т10..3</t>
  </si>
  <si>
    <t>Т10..3.1</t>
  </si>
  <si>
    <t>Т10..3.2</t>
  </si>
  <si>
    <t>Т.10.4</t>
  </si>
  <si>
    <t xml:space="preserve"> 4.3.1</t>
  </si>
  <si>
    <t xml:space="preserve"> 4.3.2</t>
  </si>
  <si>
    <t xml:space="preserve"> 4.3.3</t>
  </si>
  <si>
    <t>Т11.1</t>
  </si>
  <si>
    <t>Т11.2</t>
  </si>
  <si>
    <t>Т11.3</t>
  </si>
  <si>
    <t xml:space="preserve">  - </t>
  </si>
  <si>
    <t>\</t>
  </si>
  <si>
    <t>Т11.3.1</t>
  </si>
  <si>
    <t>Інший неопераційний дохід</t>
  </si>
  <si>
    <t>Нематеріальні активи (ННМА)</t>
  </si>
  <si>
    <t xml:space="preserve">    накопичена амортизація</t>
  </si>
  <si>
    <t xml:space="preserve">    знос</t>
  </si>
  <si>
    <t>Капітал у дооцінках (411)</t>
  </si>
  <si>
    <t>Інший операційний дохід від компенсаціій за комунальні платежі від орендаря</t>
  </si>
  <si>
    <t>Неопераційний дохід, від амортизації по НА та ОЗ, що отримані як цільове фінансування  (Дт 69 Кт 745)</t>
  </si>
  <si>
    <t>Виконують загальновиробничі функції та забезпечують надання медичних послуг</t>
  </si>
  <si>
    <t>Інше (грошові кошти та надходження у натуральній формі</t>
  </si>
  <si>
    <t>Здійснено капітальних інвестицій у розрізі джерел фінансування</t>
  </si>
  <si>
    <t xml:space="preserve">Звітний період </t>
  </si>
  <si>
    <t>у тому числі за джерелами фінасування</t>
  </si>
  <si>
    <t>Сальдо на початок звітного періоду</t>
  </si>
  <si>
    <t>Стаття Балансу*</t>
  </si>
  <si>
    <t>Безоплатно отримані</t>
  </si>
  <si>
    <t xml:space="preserve">    первісна вартість (без дооцінки ННМА)</t>
  </si>
  <si>
    <t>дооцінка ННМА</t>
  </si>
  <si>
    <t xml:space="preserve">    первісна вартість (без дооцінки ОЗ)</t>
  </si>
  <si>
    <t>дооцінка ОЗ</t>
  </si>
  <si>
    <t xml:space="preserve"> Додаткові таблиці до Балансу</t>
  </si>
  <si>
    <t>Т12.1.</t>
  </si>
  <si>
    <t>Т12.2</t>
  </si>
  <si>
    <t>Т12.3</t>
  </si>
  <si>
    <t>Т12.4</t>
  </si>
  <si>
    <t>у тому числі  НА, ОЗ, що  придбані за кошти цільового фінансування</t>
  </si>
  <si>
    <t>Т12.4  (Дт 411 Кт 10)</t>
  </si>
  <si>
    <t>Т12.2. (Дт 69 Кт377)</t>
  </si>
  <si>
    <t>Дебет ОСВ</t>
  </si>
  <si>
    <t>Кредит ОСВ</t>
  </si>
  <si>
    <t>* заповнюється за данними господарських операцій в оборотно-сальдовій відомості (ОСВ)</t>
  </si>
  <si>
    <t>Дт 10,11,12 Кт 424</t>
  </si>
  <si>
    <t xml:space="preserve">Дебет 
(таблиця 12 Вибуття) </t>
  </si>
  <si>
    <t>Дебет
 (таблиця 10 Кредит - знос)</t>
  </si>
  <si>
    <t>Відхилення
Дохід - Кредит знос ( гр. 5 - гр. 7), якщо = 0, то ПРАВДА</t>
  </si>
  <si>
    <t>Відхилення 
Дт ОСВ (гр.4) та Дт (гр.5 + гр.6), якщо = 0, то ПРАВДА</t>
  </si>
  <si>
    <t>Відхилення 
Кт ОСВ (гр.10) та Кт (гр.11), якщо = 0, то ПРАВДА</t>
  </si>
  <si>
    <t>Амортизація (табл 6 п. 6.5) - (табл 4 + табл 14) &gt;=0, то ПРАВДА</t>
  </si>
  <si>
    <t>Дт для перевірок</t>
  </si>
  <si>
    <t>Кт для перевірок</t>
  </si>
  <si>
    <t>Таблиця 9. Баланс</t>
  </si>
  <si>
    <r>
      <t>Таблиця 4. Доходи</t>
    </r>
    <r>
      <rPr>
        <i/>
        <sz val="14"/>
        <rFont val="Times New Roman"/>
        <family val="1"/>
        <charset val="204"/>
      </rPr>
      <t>, гривень</t>
    </r>
  </si>
  <si>
    <r>
      <t>Таблиця 5. Витрати</t>
    </r>
    <r>
      <rPr>
        <i/>
        <sz val="14"/>
        <rFont val="Times New Roman"/>
        <family val="1"/>
        <charset val="204"/>
      </rPr>
      <t>, гривень</t>
    </r>
  </si>
  <si>
    <r>
      <t>Таблиця 5.1. Операційні та неопераційні витрати</t>
    </r>
    <r>
      <rPr>
        <i/>
        <sz val="14"/>
        <color indexed="8"/>
        <rFont val="Times New Roman"/>
        <family val="1"/>
        <charset val="204"/>
      </rPr>
      <t>, гривень</t>
    </r>
  </si>
  <si>
    <r>
      <t>Таблиця 6. Витрати за елементами</t>
    </r>
    <r>
      <rPr>
        <i/>
        <sz val="16"/>
        <color indexed="8"/>
        <rFont val="Times New Roman"/>
        <family val="1"/>
        <charset val="204"/>
      </rPr>
      <t>, гривень</t>
    </r>
  </si>
  <si>
    <t>Таблиця 3. Капітальні інвестиції</t>
  </si>
  <si>
    <t>Таблиця 1. Надходження</t>
  </si>
  <si>
    <t>Дт 48 Кт 69 на суму вартості введення в експлуатацію</t>
  </si>
  <si>
    <t>Цільове фінансування, безоплатно отримані НА</t>
  </si>
  <si>
    <t>Цільове фінасування</t>
  </si>
  <si>
    <t>Цільове фінасування, безоплатно отримані НА</t>
  </si>
  <si>
    <t>Таблиця 10. Рух активів в частині НА, ОЗ, капітальних інвестицій та запасів з врахуванням джерел надходжень</t>
  </si>
  <si>
    <t>Табл 10 Дт 10 ЦФ Кт 15 ЦФ
на суму вартості введення в експлуатацію</t>
  </si>
  <si>
    <t>Т10.1.2. гр.16 
Дт цільові видатки Кт 13 ЦФ</t>
  </si>
  <si>
    <t>Т10.1.3</t>
  </si>
  <si>
    <t>сальдо на початок періоду</t>
  </si>
  <si>
    <t>сальдо на кінець періоду</t>
  </si>
  <si>
    <t>Баланс Пасиви у % до Активів</t>
  </si>
  <si>
    <t>відхилення</t>
  </si>
  <si>
    <t xml:space="preserve">Баланс Актив Таблиця 9
Загальна сума (запаси  + незавершені капітальні інвестиції) на початок періоду </t>
  </si>
  <si>
    <t xml:space="preserve">Баланс Актив Таблиця 9
Загальна сума (запаси  + незавершені капітальні інвестиції) на кінець періоду </t>
  </si>
  <si>
    <t>Баланс Пасив Таблиця 9
Цільове фінансування на початок періоду в частині залишків запасів та незавершених капітальних інвестицій</t>
  </si>
  <si>
    <t>Баланс Пасив Таблиця 9
Цільове фінансування на кінець періоду в частині залишків запасів та незавершених капітальних інвестицій</t>
  </si>
  <si>
    <t>T13</t>
  </si>
  <si>
    <t>таблиця 10 
Нематеріальні активи + основні засоби на початок періоду, отримані безоплатно або як цільове фінансування (424 + 69)</t>
  </si>
  <si>
    <t>таблиця 10 
Нематеріальні активи + основні засоби на кінець періоду, отримані безоплатно або як цільове фінансування (424 + 69)</t>
  </si>
  <si>
    <t xml:space="preserve">Баланс Пасив Таблиця 9
капітал у дооцінках +  додатковий капітал   + доходи майбутніх  періодів (ОЗ та ННМА) на початок періоду  </t>
  </si>
  <si>
    <t xml:space="preserve">Баланс Пасив Таблиця 9
капітал у дооцінках +  додатковий капітал   + доходи майбутніх  періодів (ОЗ та ННМА) на кінець періоду  </t>
  </si>
  <si>
    <t>Баланс таблиця 9 Актив 
Загальна сума (Нематеріальні активи + основні засоби) на початок періоду</t>
  </si>
  <si>
    <t>Баланс таблиця 9 Актив 
Загальна сума (Нематеріальні активи + основні засоби) на кінець періоду</t>
  </si>
  <si>
    <t>Якщо Дт ЦФ р.Т10.2 гр. 11 = ЦФ таблиці 3 Капітальні інвестиції, то ПРАВДА</t>
  </si>
  <si>
    <t>Цільові витрати   
таблиця 5.1 р. 1.1, гр. 14</t>
  </si>
  <si>
    <t>Таблиця 5.1 гр. 14 цільові витрати запасів</t>
  </si>
  <si>
    <t>Т14.1</t>
  </si>
  <si>
    <t>Т14.2</t>
  </si>
  <si>
    <t>Т14.3</t>
  </si>
  <si>
    <t>дані щодо сальдо на початок та на кінець мають бути рівні у Балансі та Таблиці 11</t>
  </si>
  <si>
    <t>Т14.3.1</t>
  </si>
  <si>
    <t xml:space="preserve">Таблиця 14, р.Т14.3.1, гр.4
Дт 69 за даними оборотно-сальдової відомості
</t>
  </si>
  <si>
    <t>Таблиця 14, р.Т14.3.1, гр.10
Кт 69 за даними оборотно-сальдової відомості</t>
  </si>
  <si>
    <t>Перевірки №1,2</t>
  </si>
  <si>
    <t>Перевірка №3</t>
  </si>
  <si>
    <t>Дані перевірок №1,2,3 з таблиці 14, р. Т14.3.1.</t>
  </si>
  <si>
    <t>якщо дані =0, то ПРАВДА</t>
  </si>
  <si>
    <t>Таблиця 4, р.4 гр.5
Дохід, всього</t>
  </si>
  <si>
    <t>Баланс
сума первісної вартості ОЗ та НМА</t>
  </si>
  <si>
    <t>Баланс
сума зносу ОЗ та НМА</t>
  </si>
  <si>
    <t>Таблиця 4 , р. 4.1.3, гр.5 
Дохід від реалізації робіт та послуг,  всього</t>
  </si>
  <si>
    <t xml:space="preserve">Таблиця 4, р. 4.1.3.1 гр.5 (з додатку Доходи ПМГ р.1 гр.5)
</t>
  </si>
  <si>
    <t>Таблиці 2, 3 
сума відповідні придбання ТМЦ + КАПінвестиції (ДБУ)</t>
  </si>
  <si>
    <t>Таблиці 2, 3 
сума відповідні придбання ТМЦ + КАПінвестиції (місцеві бюджети)</t>
  </si>
  <si>
    <t>Таблиця 1
надходження  грошових коштів (ДБУ)</t>
  </si>
  <si>
    <t>Таблиця 1
надходження грошових коштів (місцеві бюджети)</t>
  </si>
  <si>
    <t>Таблиці 2, 3
сума відповідні придбання ТМЦ + КАПінвестиції (ДБУ)</t>
  </si>
  <si>
    <t>Таблиці 2, 3
сума відповідні придбання ТМЦ + КАПінвестиції (місцеві бюджети)</t>
  </si>
  <si>
    <t>Баланс
цільове фінансування 48 сальдо на початок</t>
  </si>
  <si>
    <t>Сальдо на початок звітного періоду ОСВ</t>
  </si>
  <si>
    <t>дані щодо Кт мають бути рівні</t>
  </si>
  <si>
    <t xml:space="preserve">Таблиця 14, р.Т14.2, гр.4
Дт 424 за даними оборотно-сальдової відомості
</t>
  </si>
  <si>
    <t>Таблиця 14, р.Т14.2, гр.10
Кт 424 за даними оборотно-сальдової відомості</t>
  </si>
  <si>
    <t>дані щодо Дт мають бути рівні</t>
  </si>
  <si>
    <t>Таблиця 5.1. 
Оплата праці+витрати на виготовлення власної продукції</t>
  </si>
  <si>
    <t>Таблиця 10
Сальдо на початок звітного періоду</t>
  </si>
  <si>
    <t>Таблиця 10
Сальдо на кінець звітного періоду</t>
  </si>
  <si>
    <t>Т10.3.3</t>
  </si>
  <si>
    <t xml:space="preserve">ПМГ 
</t>
  </si>
  <si>
    <t>Таблиця 2. Придбання, оприбуткування ТМЦ</t>
  </si>
  <si>
    <t>* Деталізація "Інше" з таблиці 1</t>
  </si>
  <si>
    <t>Інше (ПМГ та власні кошти)</t>
  </si>
  <si>
    <t xml:space="preserve">Цільове фінансування в частині залишків запасів та незавершених капітальних інвестицій (Пасив Балансу) складає не менше 25% загальної суми залишків запасів  та незавершених капітальних інвестицій (Актив Балансу)
</t>
  </si>
  <si>
    <t>71 ЦФ Цільовий інший операційний дохід
 р. 4.2.1., гр. 5  таблиця 4</t>
  </si>
  <si>
    <t>перевірка СдП</t>
  </si>
  <si>
    <t>перевірка СдК</t>
  </si>
  <si>
    <t>СдП Баланс та СдП таблиця 10</t>
  </si>
  <si>
    <t>СдК Баланс та СдК таблиця 10</t>
  </si>
  <si>
    <t>Якщо СдП  суми залишків капітальних інвестицій, що отримані з бюджету або як благодійна допомога з р.1525 Балансу = р. Т 10.2 гр.6  Капітальні інвестиції, отримані як ЦФ, то ПРАВДА</t>
  </si>
  <si>
    <t>р. Т 10.1 гр.4</t>
  </si>
  <si>
    <t>р. Т 10.1 гр.19</t>
  </si>
  <si>
    <t>Якщо СдП р.1000 Балансу = р. Т 10.1 гр.4  Нематеріальні активи, то ПРАВДА</t>
  </si>
  <si>
    <t>Якщо СдК р.1000 Балансу = р. Т 10.1 гр.19  Нематеріальні активи, то ПРАВДА</t>
  </si>
  <si>
    <t>таблиця 3 Капітальні інвестиції, всього</t>
  </si>
  <si>
    <t xml:space="preserve"> таблиця 3 Капітальні інвестиції ЦФ</t>
  </si>
  <si>
    <t>р. Т 10.3 гр.4</t>
  </si>
  <si>
    <t xml:space="preserve">р. Т 10.3 гр.19 </t>
  </si>
  <si>
    <t>Якщо СдП р.1010 Балансу = р. Т 10.3 гр.4  Основні засоби, то ПРАВДА</t>
  </si>
  <si>
    <t>Якщо СдК р.1010 Балансу = р. Т 10.3 гр.19  Основні засоби, то ПРАВДА</t>
  </si>
  <si>
    <t>Т10.2 гр.9</t>
  </si>
  <si>
    <t>Т10.2 гр.11</t>
  </si>
  <si>
    <t>Т10, р. 10.2 гр.6</t>
  </si>
  <si>
    <t>Перевірка запаси, тис. грн.</t>
  </si>
  <si>
    <t xml:space="preserve">Баланс СдП </t>
  </si>
  <si>
    <t>Т.10.4, гр.7</t>
  </si>
  <si>
    <t>розраховано за формулою</t>
  </si>
  <si>
    <t>Баланс СдК</t>
  </si>
  <si>
    <t>оборотів по Дт не може бути</t>
  </si>
  <si>
    <t>* якщо залишкова вартість ОЗ дорівнює 0, то значення не проставляються</t>
  </si>
  <si>
    <t>Отримано як статутний капітал</t>
  </si>
  <si>
    <t>Зареєстрований (статутний) капітал</t>
  </si>
  <si>
    <t>перевірка - дані щодо СлП та СдК у таблицях 9,10,11 мають бути дорівнювати між собою</t>
  </si>
  <si>
    <t>Оцінка</t>
  </si>
  <si>
    <t>Баланс 
запаси СдП</t>
  </si>
  <si>
    <t>Баланс запаси
СдК</t>
  </si>
  <si>
    <t xml:space="preserve">відхилення
СдК Баланс - СдК розраховане за формулою  </t>
  </si>
  <si>
    <t>відхилення
Баланс СдК - СдК таблиця 10 запаси</t>
  </si>
  <si>
    <t>розрахунково
Доходи - Витрати</t>
  </si>
  <si>
    <t>Баланс
незавершені капітальні інвестиції 15 СдП</t>
  </si>
  <si>
    <t>Баланс
незавершені капітальні інвестиції 15СдК</t>
  </si>
  <si>
    <t>Доходи табл 4 р. 4.3.1</t>
  </si>
  <si>
    <t>Доходи табл 4 р. 4.3.2</t>
  </si>
  <si>
    <t>Співставлення доходів та витрат по цільовому фінансуванню</t>
  </si>
  <si>
    <t>Розрахунок Кт 69
Кт 69  (дохід майбутніх періодів з проведень  Дт ЦФ10-Кт ЦФ15) = 69СдК -69СдП+69Дт (або АММ 745(69))+передача ОЗ (ЦФ)
якщо є  69СдП, то має бути  АММ 745 (69) і 69 Кт &gt;=0 
УВАГА!!!  заповніть дохід від амортизації   АММ 745 (69)  від цільового фінансування ( Дт 69 Кт 745)  в таблиці 4  р. 4.3.1. гр. 5</t>
  </si>
  <si>
    <t>Баланс 
69СдП доходи майбутніх періодів СдП
залишкова вартість НА,ОЗ що  придбані за кошти цільового фінансування</t>
  </si>
  <si>
    <t>Баланс 
69СдК доходи майбутніх періодів СдК
залишкова вартість НА,ОЗ що  придбані за кошти цільового фінансування</t>
  </si>
  <si>
    <t>Таблиця 11, р. Т11.3.1  гр.4
69СдП доходи майбутніх періодів 69 СдП
залишкова вартість НА, ОЗ, що  придбані за кошти цільового фінансування</t>
  </si>
  <si>
    <t>Таблиця 11, р. Т11.3.1  гр.8
69СдК доходи майбутніх періодів 69 СдК
залишкова вартість НА, ОЗ, що  придбані за кошти цільового фінансування</t>
  </si>
  <si>
    <t>Баланс
цільове фінансування 48 сальдо на кінець</t>
  </si>
  <si>
    <t>відхилення 71 ЦФ р.4.2.1 гр.5 таблиця 4 - 71 ЦФ розрахований за формулою</t>
  </si>
  <si>
    <t>відхилення
цільові витрати - 71 ЦФ</t>
  </si>
  <si>
    <t xml:space="preserve">1. Перевірка даних СдП та СдК в частині  залишків з запасів, що отримані з бюджету або як благодійна допомога  таблиці 10 із відповідними даними Балансу
2. Запаси, що отримані з бюджету або як благодійна допомога (СдП+придбання ТМЦ-витрати ТМЦ=СдК) </t>
  </si>
  <si>
    <t>СдП Таблиця 10
р. Т.10.4 гр.6</t>
  </si>
  <si>
    <t>Таблиця 2
запаси придбання (цільове фінансування)</t>
  </si>
  <si>
    <t xml:space="preserve">Сума залишкової вартості (капітал у дооцінках +  додатковий капітал   + доходи майбутніх періодів (ОЗ та ННМА)) складають не менше 45 % від загальної суми залишкової вартості (Нематеріальні активи + основні засоби)
</t>
  </si>
  <si>
    <t xml:space="preserve">1. Сума залишкової вартості (капітал у дооцінках +  додатковий капітал   + доходи майбутніх періодів (ОЗ та ННМА) дорівнюють сумі залишкової вартості нематеріальних активів + основні засоби на початок періоду, отримані безоплатно або як цільове фінансування (424 + 69) </t>
  </si>
  <si>
    <t xml:space="preserve">таблиця 11
капітал у дооцінках +  додатковий капітал   + доходи майбутніх  періодів (ОЗ та ННМА) на початок періоду  </t>
  </si>
  <si>
    <t xml:space="preserve">таблиця 11
капітал у дооцінках +  додатковий капітал   + доходи майбутніх  періодів (ОЗ та ННМА) на кінець періоду  </t>
  </si>
  <si>
    <t>1. Відповідні дані Пасиву Балансу дорівнюють сумі залишків запасів  та незавершених капітальних інвестицій, отриманих як цільове фінансування ( таблиця 10)</t>
  </si>
  <si>
    <t>таблиця 10 
Запаси  + незавершені капітальні інвестиції на початок періоду (отримані як цільове фінансування)</t>
  </si>
  <si>
    <t>Таблиця 10 р. Т10.2, гр.25
Якщо Дт ЦФ р.Т10.2 гр. 11 = ЦФ таблиці 3 Капітальні інвестиції, то ПРАВДА</t>
  </si>
  <si>
    <t>р. 1525 Балансу, всього СдП</t>
  </si>
  <si>
    <t>р. 1525 Балансу, всього СдК</t>
  </si>
  <si>
    <t>р. 1665 Балансу, всього СдП</t>
  </si>
  <si>
    <t>р. 1665 Балансу, всього СдК</t>
  </si>
  <si>
    <t>Неприпустимо проставляти дані у Балансі р. 1415 Резервний капітал. Резервний капітал формується за рахунок розподілу прибутку. КНП не може розподіляти прибуток, оскільки є неприбутковою організацією</t>
  </si>
  <si>
    <t>р. 1415 Балансу СдП</t>
  </si>
  <si>
    <t>р. 1415 Балансу СдК</t>
  </si>
  <si>
    <t>Неприпустимо проставляти дані у Балансі р. 1500 Відстрочені податкові зобов’язання. Тут наводиться сума податків на прибуток, що підлягають сплаті в майбутніх періодах, яка визначається відповідно до Положення (стандарту) 17. КНП не платник податку на прибуток</t>
  </si>
  <si>
    <t>р. 1500 Балансу СдП</t>
  </si>
  <si>
    <t>р. 1500 Балансу СдК</t>
  </si>
  <si>
    <t>Мають бути відсутні дані у Балансі р. 1510 Довгострокові кредити банків. Тут наводиться сума заборгованості підприємства банкам за отриманими від них позиками, яка не є поточним зобов'язанням</t>
  </si>
  <si>
    <t>р. 1510 Балансу СдП</t>
  </si>
  <si>
    <t>р. 1510 Балансу СдК</t>
  </si>
  <si>
    <t>Мають бути відсутні дані у Балансі р. 1515 Інші довгострокові зобов’язання. Тут наводиться сума довгострокової заборгованості підприємства, не включена в інші статті, в яких розкривається інформація про довгострокові зобов'язання, зокрема зобов'язання із залучення позикових коштів (крім кредитів банків), на які нараховуються відсотки</t>
  </si>
  <si>
    <t>р. 1515 Балансу СдП</t>
  </si>
  <si>
    <t>р. 1515 Балансу СдК</t>
  </si>
  <si>
    <t xml:space="preserve">Мають бути відсутні дані у Балансі р. 1520 Довгострокові забезпечення. Тут відображаються нараховані у звітному періоді майбутні витрати та платежі (витрати на оплату майбутніх відпусток, гарантійні зобов'язання тощо), розмір яких на дату складання балансу може бути визначений тільки шляхом попередніх (прогнозних) оцінок </t>
  </si>
  <si>
    <t>р. 1420 Балансу СдП</t>
  </si>
  <si>
    <t>р. 1420 Балансу СдК</t>
  </si>
  <si>
    <t xml:space="preserve">Неприпустимо коригувати дані Балансу на кінець періоду ( гр.7 таблиці 9 Баланс) </t>
  </si>
  <si>
    <t>гр.7 Балансу, Актив</t>
  </si>
  <si>
    <t>гр.7 Балансу, Пасив</t>
  </si>
  <si>
    <t>Неприпустимо у Балансі проставляти від’ємні значення (крім р.1002, 1012, 1420 та коригування на початок періоду)</t>
  </si>
  <si>
    <t>Довідково</t>
  </si>
  <si>
    <t>при 40-годинному робочому тижні</t>
  </si>
  <si>
    <t>всього</t>
  </si>
  <si>
    <t>ЦФ</t>
  </si>
  <si>
    <t>Ремонт</t>
  </si>
  <si>
    <t>Ремонт медичного обладнання</t>
  </si>
  <si>
    <t>Ремонт приміщень</t>
  </si>
  <si>
    <t>Ремонт ліфтів, оргтехніки, ПК</t>
  </si>
  <si>
    <t>Ремонт Авто</t>
  </si>
  <si>
    <t>Інший ремонт</t>
  </si>
  <si>
    <t>Увага</t>
  </si>
  <si>
    <t>3Б</t>
  </si>
  <si>
    <t>32_35</t>
  </si>
  <si>
    <t>32А</t>
  </si>
  <si>
    <t>32Б</t>
  </si>
  <si>
    <t>3А</t>
  </si>
  <si>
    <t>7-10.</t>
  </si>
  <si>
    <t>7А</t>
  </si>
  <si>
    <t>32В</t>
  </si>
  <si>
    <t>36А</t>
  </si>
  <si>
    <t xml:space="preserve">37А </t>
  </si>
  <si>
    <t>Інтегрована оцінка для доходів та витрат по ЦФ</t>
  </si>
  <si>
    <t xml:space="preserve">Інтегрована оцінка Надходження </t>
  </si>
  <si>
    <t>Інтегрована оцінка ПМГ</t>
  </si>
  <si>
    <t>7.1.</t>
  </si>
  <si>
    <t>7.2.</t>
  </si>
  <si>
    <t>1125 Дебіторська заборгованість за продукцію, товари, роботи, послуги</t>
  </si>
  <si>
    <t xml:space="preserve">1160 Поточні фінансові інвестиції </t>
  </si>
  <si>
    <t xml:space="preserve">1165 Гроші та їх еквіваленти </t>
  </si>
  <si>
    <t>1400 Зареєстрований (статутний) капітал</t>
  </si>
  <si>
    <t xml:space="preserve">1420 Нерозподілений прибуток (непокритий збиток) </t>
  </si>
  <si>
    <t xml:space="preserve">1425 Неоплачений капітал </t>
  </si>
  <si>
    <t xml:space="preserve">1525 Цільове фінансування, всього </t>
  </si>
  <si>
    <t>1635 Поточна кредиторська заборгованість за отриманими авансами, всього</t>
  </si>
  <si>
    <t>Таблиця 12
Вибуття, передача ОЗ</t>
  </si>
  <si>
    <t>перевірка Дт 
гр.5 - (гр.13+гр.14) =0, то ПРАВДА</t>
  </si>
  <si>
    <t>Таблиця 10
Дт "(первісна вартість ОЗ + НА) безоплатно отримані "</t>
  </si>
  <si>
    <t xml:space="preserve">перевірка Кт 
</t>
  </si>
  <si>
    <t>передача, вибуття ОЗ, залишкова вартість яких обліковується у доходах майбутніх періодів (Дт 69 Кт377)</t>
  </si>
  <si>
    <t>передача, вибуття ОЗ, залишкова вартість яких обліковується у додатковому капіталі (Дт 424 Кт 10)</t>
  </si>
  <si>
    <t>Перевірка Дт та Кт, всього, грн.</t>
  </si>
  <si>
    <t>Перевірка Дт, отримані як цільове фінансування грн.</t>
  </si>
  <si>
    <t>перевірка СдП, тис. грн.</t>
  </si>
  <si>
    <t>перевірка СдК, тис. грн.</t>
  </si>
  <si>
    <t xml:space="preserve"> передача, вибуття ОЗ (ЦФ), залишкова вартість якиих обліковується у доходах майбутніх періодів</t>
  </si>
  <si>
    <t>Дебет  (таблиця 10)</t>
  </si>
  <si>
    <t>Баланс
прибуток СдП</t>
  </si>
  <si>
    <t>Баланс
прибуток СдК</t>
  </si>
  <si>
    <t>Перехідне фінансове забезпечення комплексного надання медичних послуг закладами охорони здоров’я</t>
  </si>
  <si>
    <t>Перехідне фінансове забезпечення комплексного надання медичних послуг в частині умов, які застосовуються з 1 вересня 2020 року</t>
  </si>
  <si>
    <t>у Балансі р. 1690 Інші поточні зобов’язання не допустимо проставляти дані за рахунками 682 та 683, оскільки КНП не проводить розрахунків з дочірніми і асоційованими підприємствами та внутрішньогосподарські розрахунки з виробничими одиницями і господарствами, виділеними на окремий баланс</t>
  </si>
  <si>
    <t xml:space="preserve"> резерв відпусток 47</t>
  </si>
  <si>
    <t>** допускається відхилення даних у діапазоні від -1 до 1 тис. грн.</t>
  </si>
  <si>
    <t>Т12.3 (Дт 424 Кт 10)</t>
  </si>
  <si>
    <t>Т10.3.3.1.</t>
  </si>
  <si>
    <t>Т10.3.3.2.</t>
  </si>
  <si>
    <t>Т10.1.3.1.</t>
  </si>
  <si>
    <t>Т10.1.3.2.</t>
  </si>
  <si>
    <t>р. 1035 Балансу СдП</t>
  </si>
  <si>
    <t>р. 1035 Балансу СдК</t>
  </si>
  <si>
    <t>Мають бути відсутні дані у Балансі р. 1035 Довгострокові інші фінансові інвестиції. Тут відображаються фінансові інвестиції на період більше одного року, а також усі інвестиції, які не можуть бути вільно реалізовані в будь-який момент. У цій статті виділяються фінансові інвестиції, які згідно з відповідними національними положеннями (стандартами) бухгалтерського обліку обліковуються методом участі в капіталі.</t>
  </si>
  <si>
    <t>Баланс пасив, СдП - ЦФ в частині капінвестицій</t>
  </si>
  <si>
    <t>Баланс пасив, СдК - ЦФ в частині капінвестицій</t>
  </si>
  <si>
    <t>Баланс актив, СдП основні засоби</t>
  </si>
  <si>
    <t>Баланс актив, СдК основні засоби</t>
  </si>
  <si>
    <t>Баланс актив, СдП нематеріальні активи</t>
  </si>
  <si>
    <t>Баланс актив, СдК нематеріальні активи</t>
  </si>
  <si>
    <t>Актив, запаси</t>
  </si>
  <si>
    <t>Пасив, запаси ЦФ</t>
  </si>
  <si>
    <t>Таблиця №2 Придбання, оприбуткування ТМЦ</t>
  </si>
  <si>
    <t xml:space="preserve">джерело даних </t>
  </si>
  <si>
    <t>дані</t>
  </si>
  <si>
    <t>Баланс пасив, СдП, тис. грн.</t>
  </si>
  <si>
    <t>Баланс пасив, СдК, тис. грн.</t>
  </si>
  <si>
    <t xml:space="preserve">
 АММ 745 (69)  (Дт69 Кт745)  +   передача, вибуття ОЗ (ЦФ), залишкова вартість якиих обліковується у доходах майбутніх періодів
</t>
  </si>
  <si>
    <r>
      <t xml:space="preserve">424 Кт = 424 СдК + АММ 745(424) + вибуття ОЗ - 424 СдП 
</t>
    </r>
    <r>
      <rPr>
        <b/>
        <sz val="12"/>
        <color indexed="10"/>
        <rFont val="Times New Roman"/>
        <family val="1"/>
        <charset val="204"/>
      </rPr>
      <t>Значення не може бути від’ємним!</t>
    </r>
  </si>
  <si>
    <t>Таблиця 14, р. Т14.2 додатковий капітал (гр.8 + гр.9 + гр.12) 
якщо дані =0, то ПРАВДА</t>
  </si>
  <si>
    <t>36СдН ПМГ (таблиця 9 Дебіторська заборгованість за послуги ПМГ)</t>
  </si>
  <si>
    <t>36СдК ПМГ  
(таблиця 9 Дебіторська заборгованість за послуги ПМГ)</t>
  </si>
  <si>
    <t>681СдК ПМГ 
(таблиця 9 Аванси ПМГ)</t>
  </si>
  <si>
    <t xml:space="preserve"> Дохід ПМГ 
(таблиця 4, р.4.1.3.1.)</t>
  </si>
  <si>
    <t xml:space="preserve">Співставлення  Надходжень ПМГ,  Доходів ПМГ, 
Балансу в частині дебіторської заборгованості за послуги ПМГ та авансів ПМГ 
36СдП ПМГ+ Дох ПМГ- (681СдП ПМГ+НадхПМГ)= СдК ПМГ
</t>
  </si>
  <si>
    <r>
      <t xml:space="preserve">69 Кт  = 69СдК -69СдП+69Дт (або  АММ 745 (69) ) + вибуття ОЗ (ЦФ)
</t>
    </r>
    <r>
      <rPr>
        <b/>
        <sz val="12"/>
        <color indexed="10"/>
        <rFont val="Times New Roman"/>
        <family val="1"/>
        <charset val="204"/>
      </rPr>
      <t>Значення не може бути від’ємним!</t>
    </r>
  </si>
  <si>
    <t>Значення не може бути від’ємним!</t>
  </si>
  <si>
    <t>СдП Баланс
з р.1525 сума залишків запасів, що отримані з бюджету або як благодійна допомога</t>
  </si>
  <si>
    <t>СдК Баланс
з р.1525 сума залишків запасів, що отримані з бюджету або як благодійна допомога</t>
  </si>
  <si>
    <t>первісна вартість дооцінки</t>
  </si>
  <si>
    <t xml:space="preserve">Таблиця 10 Кредит
Кт "Знос дооцінки" 
Кт "Знос (безоплатно отримані)
Кт "Знос (ЦФ)"
</t>
  </si>
  <si>
    <t>Таблиця 3
Здійснено капітальних інвестицій Дт</t>
  </si>
  <si>
    <t>відхилення
СдК розрахункове - СдК у Балансі</t>
  </si>
  <si>
    <t>Капітальні інвестиції
1. 15СдП + Дт15 - Кт15 = 15СдК
2. Перевірка Дт незавершених капітальних інвестицій у таблиці 10 із відповідними даними у таблиці 3
3. Перевірка у таблиці 10 Кт незавершених капітальних інвестицій  із Дт ОЗ та ННМА</t>
  </si>
  <si>
    <t>Баланс
знос (ОЗ + ННМА) СдК</t>
  </si>
  <si>
    <t>Баланс
знос (ОЗ + ННМА) СдП</t>
  </si>
  <si>
    <t xml:space="preserve">Таблиця 10
Кт знос (ОЗ + ННМА) </t>
  </si>
  <si>
    <t xml:space="preserve">Таблиця 10
Дт знос (ОЗ + ННМА) </t>
  </si>
  <si>
    <r>
      <t xml:space="preserve">Таблиця 12
Передача, вибуття незавершених капітальних інвестицій
</t>
    </r>
    <r>
      <rPr>
        <b/>
        <sz val="14"/>
        <color indexed="10"/>
        <rFont val="Times New Roman"/>
        <family val="1"/>
        <charset val="204"/>
      </rPr>
      <t>Значення не може бути від’ємним!</t>
    </r>
  </si>
  <si>
    <t>розрахунково СдК =
запаси СдП+придбання ТМЦ-витрати ТМЦ- вибуття ТМЦ</t>
  </si>
  <si>
    <t xml:space="preserve">СдК розрахунково =
СдП+таблиця 2 придбання ТМЦ- таблиця10 Кт ТМЦ </t>
  </si>
  <si>
    <t>Т12.1.А.</t>
  </si>
  <si>
    <t>Товари (28)</t>
  </si>
  <si>
    <t xml:space="preserve">Готова продукція (26)  </t>
  </si>
  <si>
    <t>Витрати на збут (93)</t>
  </si>
  <si>
    <t>ТМЦ</t>
  </si>
  <si>
    <t>Виконують адміністративні (та комерційні) та управлінські функції</t>
  </si>
  <si>
    <t>Виконують адміністративні  (та комерційні) та загальногосподарські функції</t>
  </si>
  <si>
    <t xml:space="preserve">Цільове фінансування, всього, у тому числі </t>
  </si>
  <si>
    <t>залишкова вартість НА,ОЗ що  придбані за кошти цільового фінансування</t>
  </si>
  <si>
    <t>Доходи майбутніх періодів, всього, у тому числі</t>
  </si>
  <si>
    <t>доходи майбутніх періодів інше</t>
  </si>
  <si>
    <t>цільове фінансування інше</t>
  </si>
  <si>
    <t xml:space="preserve">Таблиця 10
Кт ТМЦ
</t>
  </si>
  <si>
    <t>Таблиця 10
запаси СдК</t>
  </si>
  <si>
    <t xml:space="preserve">Запаси (СдП+придбання ТМЦ-КтТМЦ=СдК) </t>
  </si>
  <si>
    <t>Таблиця 10
Дт Незавершені капітальні інвестиції</t>
  </si>
  <si>
    <t>Таблиця 10
Кт Незавершені капітальні інвестиції</t>
  </si>
  <si>
    <t>Таблиця 4, п.4.3.1 (Дт 69 Кт 745 (неоперац дохід від амортизації ОЗ та НА що отримані як ЦФ)</t>
  </si>
  <si>
    <t>первісна вартість (без дооцінки) безоплатно отримані, р. Т10.1.1. + Т10.3.1. гр.10
Дт 10,11,12 Кт 424</t>
  </si>
  <si>
    <t xml:space="preserve">Додатковий капітал, всього, у тому числі </t>
  </si>
  <si>
    <t>залишкова вартість НА та ОЗ, що отримані безоплатно (422, 424)</t>
  </si>
  <si>
    <t>додатковий капітал інше</t>
  </si>
  <si>
    <t>введено в експлуатацію</t>
  </si>
  <si>
    <t>інше</t>
  </si>
  <si>
    <t>відхилення від даних в Т 10.4*</t>
  </si>
  <si>
    <t xml:space="preserve">Таблиця №5.1 + Таблиця №12 Т12.1 </t>
  </si>
  <si>
    <t>Таблиця 1
цільове фінансування (надходження), у тому додатковий капітал</t>
  </si>
  <si>
    <t>Інша поточна дебіторська заборгованість, всього, у тому числі</t>
  </si>
  <si>
    <t xml:space="preserve">  розрахунки з держaвними цільовими фондами</t>
  </si>
  <si>
    <t xml:space="preserve"> СдК ПМГ=  
36СдП ПМГ+ Дох ПМГ- (681СдП ПМГ+НадхПМГ)</t>
  </si>
  <si>
    <t>СдП</t>
  </si>
  <si>
    <t>СдК</t>
  </si>
  <si>
    <t>СдК розрахунково =
15СдП + Дт (таблиця 3) - кт (таблиця 10)</t>
  </si>
  <si>
    <t>Якщо Дт  р.Т10.2 гр. 9 =  таблиці 3 Капітальні інвестиції  та  Кт15 р. Т10.2 гр.14 (введено в експлуатацію)=Дт10+Дт12 (р.Т10.1.1+Т10.3.1) гр.9, то ПРАВДА</t>
  </si>
  <si>
    <t>Доходи табл 4 р. 4.3.2 - якщо значення менше 50 грн., але більше 0 - то помилка. Неопераційний дохід від амортизації  по НА та ОЗ, що отримані безоплатно (Дт 424 Кт 745)</t>
  </si>
  <si>
    <t>Таблиця 10
Дт "Первісна вартість дооцінки" 
Дт "Капітальні інвестиції (безоплатно отримані)"
Кт "Капітальні інвестиції (ЦФ)" введено в експлуатацію</t>
  </si>
  <si>
    <t>Таблиця 10
Кт  "Капітальні інвестиції (безоплатно отримані)" введено в експлуатацію
Дт "первісна вартість ОЗ + НА"</t>
  </si>
  <si>
    <t xml:space="preserve"> 2.10</t>
  </si>
  <si>
    <t xml:space="preserve"> 2.11</t>
  </si>
  <si>
    <t>Якщо р. 4.2.1 гр.3 = Цільові витрати р.1.1. гр.15 таблиці 5.1 - то ПРАВДА</t>
  </si>
  <si>
    <t>Якщо р. 4.2.1 гр.5 = Цільові витрати р.1.1. гр.16 таблиці 5.1 - то ПРАВДА</t>
  </si>
  <si>
    <r>
      <t>заборгованість бюджету з цільового фінансування 
(</t>
    </r>
    <r>
      <rPr>
        <i/>
        <u/>
        <sz val="14"/>
        <color indexed="8"/>
        <rFont val="Times New Roman"/>
        <family val="1"/>
        <charset val="204"/>
      </rPr>
      <t>Дт 37 ЗБЦФ</t>
    </r>
    <r>
      <rPr>
        <i/>
        <sz val="14"/>
        <color indexed="8"/>
        <rFont val="Times New Roman"/>
        <family val="1"/>
        <charset val="204"/>
      </rPr>
      <t xml:space="preserve"> Кт 48) </t>
    </r>
  </si>
  <si>
    <t>з табл 4 п. 4.3.2
Дт 424 Кт 745</t>
  </si>
  <si>
    <t>ВАЛІДАЦІЯ</t>
  </si>
  <si>
    <t xml:space="preserve">Інше (грошові кошти та надходження у натуральній формі) </t>
  </si>
  <si>
    <t>Таблиця 14. Ув’язка даних</t>
  </si>
  <si>
    <t>передача в іншу організацію ТМЦ, що придбані (отримані) за кошти цільового фінансування (Дт 48 Кт 201)</t>
  </si>
  <si>
    <t>передача в іншу організацію незавершених капітальних інвестицій, що придбані (отримані) за кошти цільового фінансування (Дт 48 Кт 15)</t>
  </si>
  <si>
    <t>передача, вибуття ОЗ, що були дооцінені, уцінка  (Дт 411 Кт 441)</t>
  </si>
  <si>
    <t>№ валідації</t>
  </si>
  <si>
    <t>Результат валідації</t>
  </si>
  <si>
    <t>Умова верифікації</t>
  </si>
  <si>
    <t>Висновок за умови не виконання умов верифікації</t>
  </si>
  <si>
    <t>Т12.1</t>
  </si>
  <si>
    <t xml:space="preserve">5.1. ЦФ </t>
  </si>
  <si>
    <t>Таблиця 5. 901 + 902</t>
  </si>
  <si>
    <t>ПМГ та власні кошти + статутний капітал</t>
  </si>
  <si>
    <t>в т.ч. в Дт15</t>
  </si>
  <si>
    <t>в т.ч.  в Дт 63, інше</t>
  </si>
  <si>
    <t>48 СдК запаси</t>
  </si>
  <si>
    <t>Таблиця 10, р. Т 10.4. гр.21 48 СдК запаси</t>
  </si>
  <si>
    <t>Таблиця 10
перевірка  -таблиця 10 в частині запасів (СдП, Дт, Кт, СдК)</t>
  </si>
  <si>
    <t>відхилення
розрахунково Сдк - Таблиця 10 розраховано за формулою за даними рядка 31 
Сдк =СдП+Дт-Кт</t>
  </si>
  <si>
    <t>Т12.1.Б.</t>
  </si>
  <si>
    <t>повернення постачальнику цільових капітальних інвестицій (Дт63 Кт 15ЦФ)</t>
  </si>
  <si>
    <t>таблиця 10 
Запаси (48 СдК запаси) + (незавершені капітальні інвестиції на кінець періоду (отримані як цільове фінансування) - Т12.1.Б)</t>
  </si>
  <si>
    <t>Т10, р. 10.2 гр.21 + Т12.1.Б</t>
  </si>
  <si>
    <t>Сальдо на кінець звітного періоду</t>
  </si>
  <si>
    <t>ПМГ+</t>
  </si>
  <si>
    <t>розраховано за формулою за даними рядка 31 
СдК =СдП+Дт-Кт</t>
  </si>
  <si>
    <t>дані для верифікації за звітний період</t>
  </si>
  <si>
    <r>
      <t xml:space="preserve">Передача ТМЦ, що придбані (отримані) за кошти цільового фінансування + (Дт 15 ЦФ Кт 201 ЦФ)
</t>
    </r>
    <r>
      <rPr>
        <b/>
        <sz val="14"/>
        <color indexed="10"/>
        <rFont val="Times New Roman"/>
        <family val="1"/>
        <charset val="204"/>
      </rPr>
      <t>Значення не може бути від’ємним!</t>
    </r>
  </si>
  <si>
    <t>1125.1</t>
  </si>
  <si>
    <t>1155.1</t>
  </si>
  <si>
    <t>1155.2</t>
  </si>
  <si>
    <t>1155.3</t>
  </si>
  <si>
    <t>1410.1</t>
  </si>
  <si>
    <t>1410.2</t>
  </si>
  <si>
    <t>1525.1</t>
  </si>
  <si>
    <t>1525.2</t>
  </si>
  <si>
    <t>1525.3</t>
  </si>
  <si>
    <t>1630.1</t>
  </si>
  <si>
    <t>1630.2</t>
  </si>
  <si>
    <t>1630.3</t>
  </si>
  <si>
    <t>1635.1</t>
  </si>
  <si>
    <t>1665.1</t>
  </si>
  <si>
    <t>1665.2</t>
  </si>
  <si>
    <t xml:space="preserve">1155.2. заборгованість бюджету з цільового фінансування 
(Дт 37 ЗБЦФ Кт 48) </t>
  </si>
  <si>
    <t>1155.3. заборгованість бюджету  для компенсації витрат (збитків)  
(Дт 37 ЗБКВ Кт 719) (п.19 ПСБО 15) (ЗБКВ)</t>
  </si>
  <si>
    <t>1525.3. цільове фінансування інше</t>
  </si>
  <si>
    <t>1635.1. у тому числі аванси за ПМГ</t>
  </si>
  <si>
    <t>Фінансовий результат господарської діяльності</t>
  </si>
  <si>
    <t>за елементами</t>
  </si>
  <si>
    <t>у тому числі</t>
  </si>
  <si>
    <t>Всього (звітний період)</t>
  </si>
  <si>
    <t>ПМГ та інші</t>
  </si>
  <si>
    <t xml:space="preserve">Бюджети усіх рівнів та благодійна допомога </t>
  </si>
  <si>
    <t>Неопераційні доходи та витрати</t>
  </si>
  <si>
    <t>5.</t>
  </si>
  <si>
    <t>3.</t>
  </si>
  <si>
    <t>5.1.</t>
  </si>
  <si>
    <t>5.2.</t>
  </si>
  <si>
    <t>5.3.</t>
  </si>
  <si>
    <t>5.4.</t>
  </si>
  <si>
    <t>5.5.</t>
  </si>
  <si>
    <t>5.6.</t>
  </si>
  <si>
    <t>7.</t>
  </si>
  <si>
    <t>7.3.</t>
  </si>
  <si>
    <t>7.4.</t>
  </si>
  <si>
    <t>8.1.</t>
  </si>
  <si>
    <t>8.1.1.</t>
  </si>
  <si>
    <t>8.1.2.</t>
  </si>
  <si>
    <t>8.1.3.</t>
  </si>
  <si>
    <t>8.1.3.1.</t>
  </si>
  <si>
    <t>8.1.3.2.</t>
  </si>
  <si>
    <t>8.1.4.</t>
  </si>
  <si>
    <t>8.2.</t>
  </si>
  <si>
    <t>8.2.1.</t>
  </si>
  <si>
    <t>8.2.3.</t>
  </si>
  <si>
    <t>8.2.4.</t>
  </si>
  <si>
    <t>8.2.4.1</t>
  </si>
  <si>
    <t>8.3.</t>
  </si>
  <si>
    <t>8.3.1.</t>
  </si>
  <si>
    <t>8.3.2.</t>
  </si>
  <si>
    <t>8.3.3.</t>
  </si>
  <si>
    <t>9.</t>
  </si>
  <si>
    <t>6а</t>
  </si>
  <si>
    <t>9.1.</t>
  </si>
  <si>
    <t>9.1.1.</t>
  </si>
  <si>
    <t>9.1.2.</t>
  </si>
  <si>
    <t>9.1.3.</t>
  </si>
  <si>
    <t>9.1.4.</t>
  </si>
  <si>
    <t>9.1.4.1</t>
  </si>
  <si>
    <t>9.1.4.2.</t>
  </si>
  <si>
    <t>9.1.4.3.</t>
  </si>
  <si>
    <t>9.1.4.4.</t>
  </si>
  <si>
    <t>9.1.4.5.</t>
  </si>
  <si>
    <t>9.1.5.</t>
  </si>
  <si>
    <t>9.1.6.</t>
  </si>
  <si>
    <t>9.2.</t>
  </si>
  <si>
    <t>1155.2.</t>
  </si>
  <si>
    <t>1155.3.</t>
  </si>
  <si>
    <t>1525.1.</t>
  </si>
  <si>
    <t>1525.2.</t>
  </si>
  <si>
    <t>1525.3.</t>
  </si>
  <si>
    <t>1635.1.</t>
  </si>
  <si>
    <t>5.7.</t>
  </si>
  <si>
    <t>5.8.</t>
  </si>
  <si>
    <t>5.9.</t>
  </si>
  <si>
    <t>5.10.</t>
  </si>
  <si>
    <t>5.11.</t>
  </si>
  <si>
    <t>1. Середня кількість працівників, осіб</t>
  </si>
  <si>
    <t>5. Надходження, всього</t>
  </si>
  <si>
    <t>5.1. надходження ПМГ</t>
  </si>
  <si>
    <t>5.2. від надання платних послуг та страхових виплат</t>
  </si>
  <si>
    <t>5.3. від надання майна в оренду</t>
  </si>
  <si>
    <t>5.4. цільові надходження (бюджети усіх рівнів)</t>
  </si>
  <si>
    <t>5.5. цільова благодійна допомога</t>
  </si>
  <si>
    <t>5.6. інші</t>
  </si>
  <si>
    <t xml:space="preserve">5.7. ЗБЦФ Заборгованість бюджету з цільового фінансування (Дт 37 ЗБЦФ Кт 48) </t>
  </si>
  <si>
    <t xml:space="preserve">5.8. ПЗБЦФ Погашення заборгованості бюджету з цільового фінансування  (Дт 31 Кт 37 ПЗБЦФ) </t>
  </si>
  <si>
    <t xml:space="preserve">5.9. ПЦФБ Повернення цільового фінансування у бюджет  (Д48 Кт31 ПЦФБ)  </t>
  </si>
  <si>
    <t>5.10. ЗБКВ Заборгованість бюджету  для компенсації витрат (збитків)  (Дт 37 ЗБКВ Кт 719) (п.19 ПСБО 15)</t>
  </si>
  <si>
    <t xml:space="preserve">5.11. ПЗБКВ Погашення заборгованості бюджету для компенсації витрат (збитків) (Дт 31 Кт 37 ПЗБКВ) (п.19 ПСБО 15) </t>
  </si>
  <si>
    <t>6. Придбання, оприбуткування ТМЦ, у тому числі</t>
  </si>
  <si>
    <t>6а Кількість середньомісячних запасів на складі на кінець періоду (з розрахунку використання 6 міс)</t>
  </si>
  <si>
    <t>6.1. за рахунок ПМГ</t>
  </si>
  <si>
    <t>6.4. інше</t>
  </si>
  <si>
    <t>7. Капітальні інвестиції, у тому числі</t>
  </si>
  <si>
    <t>7.1. за рахунок ПМГ</t>
  </si>
  <si>
    <t>7.4. інше</t>
  </si>
  <si>
    <t>8 Дохід, всього</t>
  </si>
  <si>
    <t>8.1. Дохід від реалізації, всього</t>
  </si>
  <si>
    <t>8.1.1. Готової продукції</t>
  </si>
  <si>
    <t>8.1.2. Товарів </t>
  </si>
  <si>
    <t>8.1.3. Робіт та послуг, у тому числі</t>
  </si>
  <si>
    <t>8.1.3.1. доходи ПМГ</t>
  </si>
  <si>
    <t>8.1.3.2. доходи від надання платних послуг та інші</t>
  </si>
  <si>
    <t>8.2. Інший операційний дохід, всього</t>
  </si>
  <si>
    <t>8.2.1. Цільовий інший операційний дохід (дорівнює цільовим витратам - витратам з бюджетів усіх рівнів та за рахунок благодійної допомоги)</t>
  </si>
  <si>
    <t xml:space="preserve"> 8.2.2 Інший операційний дохід від оренди</t>
  </si>
  <si>
    <t>8.2.3. Інший операційний дохід від компенсаціій за комунальні платежі від орендаря</t>
  </si>
  <si>
    <t>8.2.4. Інше (інший операційний дохід)</t>
  </si>
  <si>
    <t>8.2.4.1 у тому числі дохід на суму витрат (збитків)</t>
  </si>
  <si>
    <t>8.3. Неопераційний дохід, всього</t>
  </si>
  <si>
    <t>8.3.1. Неопераційний дохід, від амортизації по НА та ОЗ, що отримані як цільове фінансування  (Дт 69 Кт 745)</t>
  </si>
  <si>
    <t>8.3.2. Неопераційний дохід від амортизації  по НА та ОЗ, що отримані безоплатно (Дт 424 Кт 745)</t>
  </si>
  <si>
    <t>8.3.3. Інший неопераційний дохід</t>
  </si>
  <si>
    <t>9. Витрати, всього (без амортизації)</t>
  </si>
  <si>
    <t>9. Витрати, всього (з амортизацією)</t>
  </si>
  <si>
    <t>9.1. Операційні витрати, всього (без амортизвції)</t>
  </si>
  <si>
    <t>9.1. Операційні витрати, всього (з амортизацією)</t>
  </si>
  <si>
    <t>9.1.1. Витрати на оплату праці</t>
  </si>
  <si>
    <t>9.1.2. Відрахування на соціальні заходи (нарахування на оплату праці)</t>
  </si>
  <si>
    <t>9.1.3. Соціальне забезпечення</t>
  </si>
  <si>
    <t>9.1.4. Матеріальні витрати</t>
  </si>
  <si>
    <t>9.1.4.1 Медикаменти та перев'язувальні матеріали</t>
  </si>
  <si>
    <t>9.1.4.2. Паливно-мастильні матеріали</t>
  </si>
  <si>
    <t>9.1.4.3. Оплата комунальних послуг та інших  енергоносіїв  (тепло, електроенергія, вода, інше)</t>
  </si>
  <si>
    <t>9.1.5. Інші операційні витрати</t>
  </si>
  <si>
    <t>9.1.6. Амортизація</t>
  </si>
  <si>
    <t>9.2. Інші витрати (неопераційні)</t>
  </si>
  <si>
    <t xml:space="preserve"> Фінансові показники на кінець звітного періоду, тис. грн. </t>
  </si>
  <si>
    <t>1525.1. у тому числі на суму залишків з запасів, що отримані з бюджету або як благодійна допомога</t>
  </si>
  <si>
    <t>1525.2. у тому числі  на суму залишків з капітальних інвестицій, що отримані з бюджету або як благодійна допомога</t>
  </si>
  <si>
    <t>1625 Поточна кредиторська заборгованість за розрахунками зі страхування</t>
  </si>
  <si>
    <t>1630 Поточна кредиторська заборгованість за розрахунками з оплати праці</t>
  </si>
  <si>
    <t>Таблиця 12. Передача, вибуття НА, ТМЦ та незавершених капітальних інвестицій, що отримані як цільове фінансування, безоплатно отримані, гривень</t>
  </si>
  <si>
    <t>6.2. за рахунок цільового фінансування (бюджети усіх рівнів)</t>
  </si>
  <si>
    <t>7.2. за рахунок цільового фінансування (бюджети усіх рівнів)</t>
  </si>
  <si>
    <t>6.3. за рахунок цільового фінансування (благодійна допомога)</t>
  </si>
  <si>
    <t>7.3. за рахунок цільового фінансування (благодійна допомога)</t>
  </si>
  <si>
    <r>
      <rPr>
        <b/>
        <u/>
        <sz val="14"/>
        <color indexed="8"/>
        <rFont val="Times New Roman"/>
        <family val="1"/>
        <charset val="204"/>
      </rPr>
      <t>Цільові витрати</t>
    </r>
    <r>
      <rPr>
        <sz val="14"/>
        <color indexed="8"/>
        <rFont val="Times New Roman"/>
        <family val="1"/>
        <charset val="204"/>
      </rPr>
      <t xml:space="preserve">  (витрати за рахунок бюджетів усіх рівнів та благодійної допомоги )</t>
    </r>
  </si>
  <si>
    <r>
      <t xml:space="preserve">Операційні </t>
    </r>
    <r>
      <rPr>
        <sz val="14"/>
        <rFont val="Times New Roman"/>
        <family val="1"/>
        <charset val="204"/>
      </rPr>
      <t>(без амортизації)</t>
    </r>
  </si>
  <si>
    <t xml:space="preserve"> 2.1.6</t>
  </si>
  <si>
    <t>Дизенфекційні засоби</t>
  </si>
  <si>
    <t xml:space="preserve"> 2.1.7</t>
  </si>
  <si>
    <t>Продукти харчування</t>
  </si>
  <si>
    <t xml:space="preserve"> 2.1.8</t>
  </si>
  <si>
    <t>Імунобіологічні препарати</t>
  </si>
  <si>
    <t>Лікувальне харчування</t>
  </si>
  <si>
    <t xml:space="preserve"> 2.1.9</t>
  </si>
  <si>
    <t xml:space="preserve"> 1.1.4.1.6</t>
  </si>
  <si>
    <t xml:space="preserve"> 1.1.4.9</t>
  </si>
  <si>
    <t xml:space="preserve"> 1.1.4.10.1</t>
  </si>
  <si>
    <t xml:space="preserve"> 1.1.4.10.2</t>
  </si>
  <si>
    <t xml:space="preserve"> 1.1.4.10.3</t>
  </si>
  <si>
    <t xml:space="preserve"> 1.1.4.10.4</t>
  </si>
  <si>
    <t xml:space="preserve"> 1.1.4.10.5</t>
  </si>
  <si>
    <t xml:space="preserve"> 1.1.4.10.6</t>
  </si>
  <si>
    <r>
      <t>Таблиця 11. Рух пасивів в частині НА, ОЗ, дооцінки з врахуванням цільових джерел надходжень</t>
    </r>
    <r>
      <rPr>
        <i/>
        <sz val="18"/>
        <color indexed="8"/>
        <rFont val="Times New Roman"/>
        <family val="1"/>
        <charset val="204"/>
      </rPr>
      <t>, гривень</t>
    </r>
  </si>
  <si>
    <t xml:space="preserve">ПЗБКВ
Погашення заборгованості бюджету для компенсації витрат (збитків) (п.19 ПСБО 15) </t>
  </si>
  <si>
    <t>18.1.</t>
  </si>
  <si>
    <t>18.2.</t>
  </si>
  <si>
    <t>Додатковий капітал (424)</t>
  </si>
  <si>
    <t>Доходи майбутніх періодів (69)</t>
  </si>
  <si>
    <t>T13.1</t>
  </si>
  <si>
    <t>T13.2</t>
  </si>
  <si>
    <t>Увага! Неприпустимо проставляти від’ємні значення</t>
  </si>
  <si>
    <t>Таблиця 10 СдП - сума залишкової вартості ННМА та ОЗ, якщо значення не від’ємні, то ПРАВДА</t>
  </si>
  <si>
    <t>Таблиця 10 СдК - сума залишкової вартості ННМА та ОЗ, якщо значення не від’ємні, то ПРАВДА</t>
  </si>
  <si>
    <t>Собівартість реалізованої готової продукції</t>
  </si>
  <si>
    <t>Собівартість реалізованих товарів</t>
  </si>
  <si>
    <t xml:space="preserve"> 1.1.5.16</t>
  </si>
  <si>
    <t xml:space="preserve"> 1.1.6</t>
  </si>
  <si>
    <t xml:space="preserve"> 1.1.6.1</t>
  </si>
  <si>
    <t xml:space="preserve"> 1.1.6.2</t>
  </si>
  <si>
    <t xml:space="preserve"> 1.1.6.3</t>
  </si>
  <si>
    <t>Якщо є дохід від реалізації готової продукції р. 4.1.1 гр.3 то має бути виробнича собівартість готової продукції  р.5.1.1.1. гр.3 таблиці 5</t>
  </si>
  <si>
    <t>верифікація</t>
  </si>
  <si>
    <r>
      <rPr>
        <b/>
        <sz val="16"/>
        <color indexed="8"/>
        <rFont val="Times New Roman"/>
        <family val="1"/>
        <charset val="204"/>
      </rPr>
      <t>Верифікація даних цієї таблиці з таблицею 10 та з Балансом:</t>
    </r>
    <r>
      <rPr>
        <sz val="16"/>
        <color indexed="8"/>
        <rFont val="Times New Roman"/>
        <family val="1"/>
        <charset val="204"/>
      </rPr>
      <t xml:space="preserve">
дооцінка - таблиця 10 ( р. Т10.1.3 та р. Т10.3.3. гр.4, гр.19), Баланс р.1405 СдП та СдК ;
безоплатно отримані - таблиця 10 (р. Т10.1.1. - Т10.1.2. та Т10.3.1- Т10.3.2 гр. 5; гр.20), Баланс р.1410  СдП та СдК ;
отримані як цільове фінансування - таблиця 10 (Т10.1.1 - Т10.1.2 та Т 10.3.1.-Т10.3.2 гр. 6; гр.21), Баланс з р.1665 СдП та СдК </t>
    </r>
  </si>
  <si>
    <r>
      <rPr>
        <b/>
        <sz val="16"/>
        <color indexed="8"/>
        <rFont val="Times New Roman"/>
        <family val="1"/>
        <charset val="204"/>
      </rPr>
      <t>Верифікація Дт цієї таблиці з таблицею 10</t>
    </r>
    <r>
      <rPr>
        <sz val="16"/>
        <color indexed="8"/>
        <rFont val="Times New Roman"/>
        <family val="1"/>
        <charset val="204"/>
      </rPr>
      <t xml:space="preserve">
Дт 411 = Кт "Знос дооцінки" + "передача дооцінених ОЗ з  Т12.4"
Дт 424 =Кт "Знос (безоплатно отримані) + вибуття (безоплатно отримані) з Т12.3 
Дт  69 = Кт "Знос (ЦФ)" + вибуття (ЦФ)  Т12.2</t>
    </r>
  </si>
  <si>
    <r>
      <t xml:space="preserve">верифікація даних щодо </t>
    </r>
    <r>
      <rPr>
        <b/>
        <sz val="16"/>
        <color indexed="8"/>
        <rFont val="Times New Roman"/>
        <family val="1"/>
        <charset val="204"/>
      </rPr>
      <t>нематеріальних активів</t>
    </r>
    <r>
      <rPr>
        <sz val="16"/>
        <color indexed="8"/>
        <rFont val="Times New Roman"/>
        <family val="1"/>
        <charset val="204"/>
      </rPr>
      <t xml:space="preserve"> з відповідними даними Балансу, тис. грн.</t>
    </r>
  </si>
  <si>
    <r>
      <t xml:space="preserve">верифікація даних щодо </t>
    </r>
    <r>
      <rPr>
        <b/>
        <sz val="16"/>
        <color indexed="8"/>
        <rFont val="Times New Roman"/>
        <family val="1"/>
        <charset val="204"/>
      </rPr>
      <t>основних засобів</t>
    </r>
    <r>
      <rPr>
        <sz val="16"/>
        <color indexed="8"/>
        <rFont val="Times New Roman"/>
        <family val="1"/>
        <charset val="204"/>
      </rPr>
      <t xml:space="preserve"> з відповідними даними Балансу, тис. грн.</t>
    </r>
  </si>
  <si>
    <t>верифікація  даних таблиці 10 в частині запасів (СдП, Дт, Кт, СдК)</t>
  </si>
  <si>
    <t>Cума активи + пасиви на кінець періода не = 0, то ПРАВДА</t>
  </si>
  <si>
    <t>Якщо є дохід від реалізації товарів р. 4.1.2 гр.3 то має бути виробнича собівартість товарів  р.5.1.1.2. гр.3 таблиці 5</t>
  </si>
  <si>
    <t>Якщо є дохід від реалізації готової продукції р. 4.1.1 гр.5 то має бути виробнича собівартість готової продукції  р.5.1.1.1. гр.5 таблиці 5</t>
  </si>
  <si>
    <t>Якщо є дохід від реалізації товарів р. 4.1.2 гр.5 то має бути виробнича собівартість товарів  р.5.1.1.2. гр.5 таблиці 5</t>
  </si>
  <si>
    <t>Кров та/або її компоненти, дози, одиниць</t>
  </si>
  <si>
    <t>Кров та її компоненти ***</t>
  </si>
  <si>
    <t xml:space="preserve">Якщо є придбання крові та/або її компонентів р. 2.1.2. гр.3 таблиці 2, то має бути вказана відповідна кількість доз  р.1 гр.3 цієї таблиці </t>
  </si>
  <si>
    <t xml:space="preserve">Якщо є придбання крові та/або її компонентів р. 2.1.2. гр.4 таблиці 2, то має бути вказана відповідна кількість доз  р.1 гр.5 цієї таблиці </t>
  </si>
  <si>
    <t>Відшкодування вартості пільгових ліків, інсулінів</t>
  </si>
  <si>
    <t>Соціальне забезпечення (у тому пільгові пенсії)</t>
  </si>
  <si>
    <t xml:space="preserve">Якщо є витрати щодо крові та/або її компонентів р.  1.1.4.1.2 гр.3 таблиці 5.1, то має бути вказана відповідна кількість доз  р.1 гр.4 цієї таблиці </t>
  </si>
  <si>
    <t xml:space="preserve">Якщо є витрати щодо крові та/або її компонентів р.  1.1.4.1.2 гр.4 таблиці 5.1, то має бути вказана відповідна кількість доз  р.1 гр.6 цієї таблиці </t>
  </si>
  <si>
    <t>Перевірка на наявність ЄДРПОУ та інших даних, розташованих на вкладках "Звіт 1,2,3" та "Звіт 9"</t>
  </si>
  <si>
    <t>Якщо є придбання крові та/або її компонентів р. 2.1.2. гр.4 таблиці 2, то має бути вказана відповідна кількість доз  р.1 гр.5 таблиці Кров та/або її компоненти</t>
  </si>
  <si>
    <t>Якщо є витрати щодо крові та/або її компонентів р.  1.1.4.1.2 гр.4 таблиці 5.1, то має бути вказана відповідна кількість доз  р.1 гр.6 таблиці Кров та/або її компоненти</t>
  </si>
  <si>
    <t>Доходи таблиця 4 р. 4.3.1 - якщо значення менше 50 грн., але більше 0 - то помилка. Неопераційний дохід, від амортизації по НА та ОЗ, що отримані як цільове фінансування  (Дт 69 Кт 745)</t>
  </si>
  <si>
    <t>Увага! чисельність проставляється у цілих числах (п.1.9 наказу Держкомстату №286 від 28.09.2005)</t>
  </si>
  <si>
    <t>Баланс
Аванси ПМГ станом на кінець звітного періоду</t>
  </si>
  <si>
    <t>АВТОПЕРЕВІРКА</t>
  </si>
  <si>
    <t>№ зп</t>
  </si>
  <si>
    <t>Умова перевірки</t>
  </si>
  <si>
    <t>Ранж "5"</t>
  </si>
  <si>
    <t>Ранж 4</t>
  </si>
  <si>
    <t>Ранж 3</t>
  </si>
  <si>
    <t xml:space="preserve">Ранж 2 </t>
  </si>
  <si>
    <t>Послід-ть у реєстрі</t>
  </si>
  <si>
    <t>True</t>
  </si>
  <si>
    <t xml:space="preserve">Запаси (СдП+придбання ТМЦ-витрати ТМЦ =СдК) </t>
  </si>
  <si>
    <t>Нерозподілений прибуток (непокритий збиток)  (СдК-СдП) -Дт 411) =  Доходи-Витрати</t>
  </si>
  <si>
    <t>Якщо на початок року є капітал у дооцінках, то має бути його амортизація Дт 411
Амортизація по дооціненому капіталу не може бути менше 0</t>
  </si>
  <si>
    <t>Знос ОЗ та ННМА (СдК-СдП) = амортизації</t>
  </si>
  <si>
    <t>12,13,16,17</t>
  </si>
  <si>
    <t>3True</t>
  </si>
  <si>
    <t xml:space="preserve">Співставлення  Надходжень ПМГ,  Доходів ПМГ, балансу 36 ПМГ, 681 ПМГ </t>
  </si>
  <si>
    <t>7 True</t>
  </si>
  <si>
    <t>якщо перевірки №7А и №7, №8 правильні та є  69СдП, то має бути  АММ 745 (69) і 69 Кт &gt;=0 
УВАГА!!!  заповніть дохід від амортизації   АММ 745 (69)  від цільового фінансування ( Дт 69 Кт 745)  в таблиці 4  р. 4.3.1. гр. 5</t>
  </si>
  <si>
    <t>Доходи табл 4 р. 4.3.1 якщо стоїть менше 100 грн., але більше 0 - то помилка. Неопераційний дохід, від амортизації по НА та ОЗ, що отримані як цільове фінансування  (Дт 69 Кт 745)</t>
  </si>
  <si>
    <t>Доходи табл 4 р. 4.3.2 мають бути більше 100 грн.Неопераційний дохід від амортизації  по НА та ОЗ, що отримані безоплатно (Дт 424 Кт 745)</t>
  </si>
  <si>
    <t>48 Дт = 48СдП-48СдК+48 Кт
48 Кт  цільове фінансування (надходження) =  
(надходження бюджети + благодійна допомога) - 424 Кт.
424 Кт = 424 СдК + АММ 745 (424)- вибуття ОЗ  -424 СдП  
УВАГА!!!І Якщо існують госп.операції з додатковим капиталом,  заповніть  АММ 745(424) (Дт 424 Кт 745) в таблиці 4, р. 4.3.2. гр.5</t>
  </si>
  <si>
    <t>Інтегрована оцінка по структурі Балансу (№36-47)</t>
  </si>
  <si>
    <t xml:space="preserve">Сума залишкової вартості (капітал у дооцінках +  додатковий капітал   + доходи майбутніх періодів(Оз та ННМА)) складають не менше 45 % від загальної суми залишкової вартості (Нематеріальні активи + основні засоби)
</t>
  </si>
  <si>
    <t xml:space="preserve">Сума залишкової вартості (капітал у дооцінках +  додатковий капітал   + доходи майбутніх періодів(ОЗ та ННМА) дорівнюють сумі залишкової вартості нематеріальних активів + основні засоби на початок періоду, отримані безоплатно або як цільове фінансування (424 + 69)
дані в гривнях
</t>
  </si>
  <si>
    <t>неприпустимо проставляти дані у Балансі р. 1415 Резервний капітал. Резервний капітал формується за рахунок розподілу прибутку. КНП не може розподіляти прибуток, оскільки є неприбутковою організацією;</t>
  </si>
  <si>
    <t>неприпустимо проставляти дані у Балансі р. 1500 Відстрочені податкові зобов’язання. Тут наводиться сума податків на прибуток, що підлягають сплаті в майбутніх періодах, яка визначається відповідно до Положення (стандарту) 17. КНП не платник податку на прибуток;</t>
  </si>
  <si>
    <t>на нашу думку, мають бути відсутні дані у Балансі р. 1510 Довгострокові кредити банків. Тут наводиться сума заборгованості підприємства банкам за отриманими від них позиками, яка не є поточним зобов'язанням;</t>
  </si>
  <si>
    <t>на нашу думку, мають бути відсутні дані у Балансі р. 1515 Інші довгострокові зобов’язання. Тут наводиться сума довгострокової заборгованості підприємства, не включена в інші статті, в яких розкривається інформація про довгострокові зобов'язання, зокрема зобов'язання із залучення позикових коштів (крім кредитів банків), на які нараховуються відсотки;</t>
  </si>
  <si>
    <t xml:space="preserve">на нашу думку, мають бути відсутні дані у Балансі р. 1520 Довгострокові забезпечення. Тут відображаються нараховані у звітному періоді майбутні витрати та платежі (витрати на оплату майбутніх відпусток, гарантійні зобов'язання тощо), розмір яких на дату складання балансу може бути визначений тільки шляхом попередніх (прогнозних) оцінок; </t>
  </si>
  <si>
    <t>Примітка. Якщо у комірці є технічне слово "FALSE", це значить, що дані у ній відсутні, що є правильним та не вважається помилкою</t>
  </si>
  <si>
    <t>Всього ресурс для покриття витрат</t>
  </si>
  <si>
    <r>
      <t>ПМГ</t>
    </r>
    <r>
      <rPr>
        <sz val="14"/>
        <rFont val="Times New Roman"/>
        <family val="1"/>
        <charset val="204"/>
      </rPr>
      <t xml:space="preserve"> 
(додаток Надходження ПМГ)</t>
    </r>
  </si>
  <si>
    <r>
      <t>ЗБКВ
Заборгованість бюджету  для компенсації витрат (збитків)  (</t>
    </r>
    <r>
      <rPr>
        <u/>
        <sz val="14"/>
        <rFont val="Times New Roman"/>
        <family val="1"/>
        <charset val="204"/>
      </rPr>
      <t>Дт 37 ЗБКВ</t>
    </r>
    <r>
      <rPr>
        <sz val="14"/>
        <rFont val="Times New Roman"/>
        <family val="1"/>
        <charset val="204"/>
      </rPr>
      <t xml:space="preserve"> Кт 719) (п.19 ПСБО 15)</t>
    </r>
  </si>
  <si>
    <r>
      <t xml:space="preserve">Дт 401 </t>
    </r>
    <r>
      <rPr>
        <b/>
        <sz val="14"/>
        <rFont val="Times New Roman"/>
        <family val="1"/>
        <charset val="204"/>
      </rPr>
      <t>Кт 37 ПЗБКВ</t>
    </r>
  </si>
  <si>
    <r>
      <t>Придбання, оприбуткування ТМЦ, всього</t>
    </r>
    <r>
      <rPr>
        <i/>
        <sz val="14"/>
        <rFont val="Times New Roman"/>
        <family val="1"/>
        <charset val="204"/>
      </rPr>
      <t>, у тому числі</t>
    </r>
  </si>
  <si>
    <r>
      <t>Інші надходження, всього</t>
    </r>
    <r>
      <rPr>
        <i/>
        <sz val="14"/>
        <rFont val="Times New Roman"/>
        <family val="1"/>
        <charset val="204"/>
      </rPr>
      <t xml:space="preserve">, у тому числі </t>
    </r>
  </si>
  <si>
    <r>
      <t>Капітальні інвестиції, всього</t>
    </r>
    <r>
      <rPr>
        <i/>
        <sz val="14"/>
        <rFont val="Times New Roman"/>
        <family val="1"/>
        <charset val="204"/>
      </rPr>
      <t>, у тому числі</t>
    </r>
  </si>
  <si>
    <r>
      <t>Капітальне будівництво</t>
    </r>
    <r>
      <rPr>
        <i/>
        <sz val="14"/>
        <rFont val="Times New Roman"/>
        <family val="1"/>
        <charset val="204"/>
      </rPr>
      <t xml:space="preserve">, у тому числі </t>
    </r>
  </si>
  <si>
    <r>
      <t>Основні засоби</t>
    </r>
    <r>
      <rPr>
        <i/>
        <sz val="14"/>
        <rFont val="Times New Roman"/>
        <family val="1"/>
        <charset val="204"/>
      </rPr>
      <t xml:space="preserve">,  у тому числі </t>
    </r>
  </si>
  <si>
    <r>
      <t>ННМА, всього</t>
    </r>
    <r>
      <rPr>
        <sz val="14"/>
        <rFont val="Times New Roman"/>
        <family val="1"/>
        <charset val="204"/>
      </rPr>
      <t>,</t>
    </r>
    <r>
      <rPr>
        <i/>
        <sz val="14"/>
        <rFont val="Times New Roman"/>
        <family val="1"/>
        <charset val="204"/>
      </rPr>
      <t xml:space="preserve"> у тому числі </t>
    </r>
  </si>
  <si>
    <t>Ремонт ННМА (прикладне програмне забезпечення - ППЗ)</t>
  </si>
  <si>
    <t>1. Структура надходжень до КНП грошових коштів та ресурсів в натуральній формі</t>
  </si>
  <si>
    <t>Програма медичних гарантій</t>
  </si>
  <si>
    <t>Платні послуги, страхові виплати</t>
  </si>
  <si>
    <t>Інше</t>
  </si>
  <si>
    <t>Державний бюджет (в т.ч. централізовані закупівлі, тощо)</t>
  </si>
  <si>
    <t xml:space="preserve">Обласний, районний та бюджет місцевого самоврядування </t>
  </si>
  <si>
    <t>%</t>
  </si>
  <si>
    <t>структура, %</t>
  </si>
  <si>
    <t>Платні послуги, страхові виплати, інше</t>
  </si>
  <si>
    <t>Грошові кошти на початок періоду</t>
  </si>
  <si>
    <t>Надходження грошових коштів</t>
  </si>
  <si>
    <t xml:space="preserve">Всього грошових коштів в наявності </t>
  </si>
  <si>
    <t>100</t>
  </si>
  <si>
    <t>3</t>
  </si>
  <si>
    <t>Використання грошових коштів</t>
  </si>
  <si>
    <t>Грошові кошти на кінець періоду</t>
  </si>
  <si>
    <t>* придбання ТМЦ, капітальних інвестицій, оплати праці (у т.ч. ЄСВ), соціального забезпечення, комунальних послуг, ремонтів, робіт, послуг, інше (за грошові кошти)</t>
  </si>
  <si>
    <t>3. Структура придбання, оприбуткування за грошові кошти та у натуральній формі</t>
  </si>
  <si>
    <t xml:space="preserve">Всього придбання, оприбуткування* </t>
  </si>
  <si>
    <t>Придбання, оприбуткування товарно-матеріальних цінностей</t>
  </si>
  <si>
    <t>1.1.1.</t>
  </si>
  <si>
    <t>1.1.2.</t>
  </si>
  <si>
    <t>1.1.3.</t>
  </si>
  <si>
    <t>1.1.4.</t>
  </si>
  <si>
    <t>1.1.5.</t>
  </si>
  <si>
    <t>1.1.6.</t>
  </si>
  <si>
    <t>Інше придбання та оприбуткування</t>
  </si>
  <si>
    <t>Витрати на оплату праці (у т.ч. ЄСВ) та соціальне забезпечення</t>
  </si>
  <si>
    <t>Витрати на оплату робіт, послуг, інше</t>
  </si>
  <si>
    <t>1.4.</t>
  </si>
  <si>
    <t>1.5.</t>
  </si>
  <si>
    <t>1.6.</t>
  </si>
  <si>
    <t>Капітальні інвестиції</t>
  </si>
  <si>
    <t>1.6.1.</t>
  </si>
  <si>
    <t>Придбання, створення</t>
  </si>
  <si>
    <t>1.6.2.</t>
  </si>
  <si>
    <t>Модернізація, модифікація, капітальний ремонт</t>
  </si>
  <si>
    <t>* придбання ТМЦ, капітальних інвестицій, оплати праці (у т.ч. ЄСВ), соціального забезпечення, комунальних послуг, ремонтів, робіт, послуг, інше  (за грошові кошти та у натуральній формі)</t>
  </si>
  <si>
    <t>4. Покриття витрат</t>
  </si>
  <si>
    <t>Дохід від реалізаціі товарів, готової продукції, робіт та послуг  (з авансами ПМГ)</t>
  </si>
  <si>
    <t>Товарів та готової продукції (продаж аптеками ліків, власних запасів тощо)</t>
  </si>
  <si>
    <t>1.1.2.1.</t>
  </si>
  <si>
    <t xml:space="preserve"> дохід за рахунок надання платних послуг </t>
  </si>
  <si>
    <t>1.1.2.2.</t>
  </si>
  <si>
    <t>дохід ПМГ з авансами ПМГ</t>
  </si>
  <si>
    <t>Інший операційний дохід, у тому числі</t>
  </si>
  <si>
    <t>1.3.1.</t>
  </si>
  <si>
    <t>цільовий інший операційний дохід</t>
  </si>
  <si>
    <t>дохід від оренди, від компенсаціій за комунальні платежі від орендаря, інше</t>
  </si>
  <si>
    <t>дохід  для покриття витрат (збитків) за рахунок бюджету</t>
  </si>
  <si>
    <t>Неопераційний дохід</t>
  </si>
  <si>
    <t>у тому числі від амортизації по НА та ОЗ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</si>
  <si>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</si>
  <si>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</si>
  <si>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</si>
  <si>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</si>
  <si>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</si>
  <si>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</si>
  <si>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</si>
  <si>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</si>
  <si>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</si>
  <si>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Вирахування з доходу (з мінусом)</t>
  </si>
  <si>
    <t>4.1.4.1.</t>
  </si>
  <si>
    <r>
      <t xml:space="preserve">Таблиця 13. Деталізація оборотів по Дт 411, </t>
    </r>
    <r>
      <rPr>
        <i/>
        <sz val="18"/>
        <rFont val="Times New Roman"/>
        <family val="1"/>
        <charset val="204"/>
      </rPr>
      <t>гривень</t>
    </r>
  </si>
  <si>
    <t>T13.3</t>
  </si>
  <si>
    <t>рух по 13 рахунку щодо дооцінки</t>
  </si>
  <si>
    <t>передача, вибуття ОЗ, що були дооцінені  (Дт 411 Кт 441)</t>
  </si>
  <si>
    <t>коригування прибутку</t>
  </si>
  <si>
    <t xml:space="preserve">Дебет 
(з таблиці 4 та Т13 (Т13.1+Т13.2)
Доходи =АММ),  </t>
  </si>
  <si>
    <t xml:space="preserve">Т13 (Т13.1+Т13.2) </t>
  </si>
  <si>
    <r>
      <t xml:space="preserve">Таблиця 12, р. Т12.4
Передача, вибуття ОЗ, що були дооцінені
</t>
    </r>
    <r>
      <rPr>
        <b/>
        <sz val="14"/>
        <color indexed="10"/>
        <rFont val="Times New Roman"/>
        <family val="1"/>
        <charset val="204"/>
      </rPr>
      <t>Значення не може бути від’ємним!</t>
    </r>
  </si>
  <si>
    <t xml:space="preserve">розрахунково
СдК - СдП- (Дт411 у кореспонденції з Кт441) </t>
  </si>
  <si>
    <t>розрахунково
Дт13 знос (ОЗ + ННМА) =СдП-СдК + Кт</t>
  </si>
  <si>
    <t>Розрахунково 
Кт13  (таблиця 10 рядки зносу та руху по 13 рахунку щодо дооцінки) - дооцінка зносу періоду (р. Т13.1.)</t>
  </si>
  <si>
    <t>Дані перевірок №1,3 з таблиці 14, р. Т14.1.
якщо дані =0, то ПРАВДА</t>
  </si>
  <si>
    <t>відхилення
розрахунковий Кт13 - Таблиця 5.1. р. 1.1.6 гр.4</t>
  </si>
  <si>
    <t>Таблиця 5.1, р. 1.1.6 
гр. 4
Амортизація</t>
  </si>
  <si>
    <t>відхилення
розрахунковий Дт13 - Таблиця 10 Дт знос</t>
  </si>
  <si>
    <t>Знос ОЗ та ННМА (СдП-СдК +Кт) = амортизації</t>
  </si>
  <si>
    <t>відхилення
Дт у таблиці 3 - Дт у таблиці 10</t>
  </si>
  <si>
    <t>Т11.1а</t>
  </si>
  <si>
    <t>Т11.2а</t>
  </si>
  <si>
    <t>у тому числі земля</t>
  </si>
  <si>
    <r>
      <t xml:space="preserve">Якщо на початок року є капітал у дооцінках, то має бути його амортизація Дт 411 (крім дооцінки землі)
</t>
    </r>
    <r>
      <rPr>
        <b/>
        <sz val="14"/>
        <color indexed="10"/>
        <rFont val="Times New Roman"/>
        <family val="1"/>
        <charset val="204"/>
      </rPr>
      <t xml:space="preserve">Амортизація дооціненого капіталу не може бути менше 0 
</t>
    </r>
  </si>
  <si>
    <t>Нерозподілений прибуток (непокритий збиток)  СдК-СдП -  (Дт411 у кореспонденції з Кт441)  =  Доходи-Витрати</t>
  </si>
  <si>
    <t>Баланс
капітал у дооцінках крім землі (411 СдП)</t>
  </si>
  <si>
    <t>Баланс
капітал у дооцінках крім землі (411 СдК)</t>
  </si>
  <si>
    <t xml:space="preserve">Таблиця 11, СдП 
р. Т11.1 -Т11.1а гр.4
</t>
  </si>
  <si>
    <t xml:space="preserve">Таблиця 11, СдК
р. Т11.1 -Т11.1а гр.7
</t>
  </si>
  <si>
    <t xml:space="preserve">АММ 745 (424) (від додатково капіталу Дт 424 Кт 745) р.4.3.2. гр.5 таблиці 4 + передача ОЗ, залишкова вартість яких обліковується у додатковому капіталі
</t>
  </si>
  <si>
    <t>у тому числі через повернення залишку коштів по 33 пакету (з мінусом)</t>
  </si>
  <si>
    <t xml:space="preserve"> 4.2.1.1</t>
  </si>
  <si>
    <t>4.2.4.1.</t>
  </si>
  <si>
    <t>Таблиця 1
надходження у натуральній формі (Благодійна допомога)</t>
  </si>
  <si>
    <t>Таблиця 1
надходження у натуральній формі (місцеві бюджети)</t>
  </si>
  <si>
    <t>Таблиця 5
Виробнича собівартість готової продукції та товарів</t>
  </si>
  <si>
    <t xml:space="preserve">Коригування прибутку по дооцінці </t>
  </si>
  <si>
    <t>*** якщо є витрати за статтею "Кров та її компоненти", то мають бути заповнені відповідні дані у таблиці Кров та/або її компоненти (вкладка Звіт 7,8)</t>
  </si>
  <si>
    <t>Таблиця 1
надходження у натуральній формі (ДБУ)</t>
  </si>
  <si>
    <t>натуральна форма</t>
  </si>
  <si>
    <t>Сальдо на початок періоду</t>
  </si>
  <si>
    <t>Дт</t>
  </si>
  <si>
    <t>Кт (використання)</t>
  </si>
  <si>
    <t>Сальдо на кінець періоду</t>
  </si>
  <si>
    <t>Кількість середньомісячних запасів на складі на кінець періоду</t>
  </si>
  <si>
    <t>Кт розрахунковий</t>
  </si>
  <si>
    <t>Запаси, тис. грн.</t>
  </si>
  <si>
    <t>використання та залишок всіх запасів у % до наявних</t>
  </si>
  <si>
    <t>структура залишків запасів та придбання, оприбуткування, %</t>
  </si>
  <si>
    <t>1.1.7.</t>
  </si>
  <si>
    <t>1.1.8.</t>
  </si>
  <si>
    <t>1.1.9.</t>
  </si>
  <si>
    <t>Кров та її компоненти</t>
  </si>
  <si>
    <t>Т12.4 (Т13.3)</t>
  </si>
  <si>
    <t>Доходи та витрати в частині продукції, товарів, робіт, послуг</t>
  </si>
  <si>
    <t>1. Дохід від реалізаціі, всього</t>
  </si>
  <si>
    <t>1.1. Готової продукції</t>
  </si>
  <si>
    <t>1.2. Товарів </t>
  </si>
  <si>
    <t>1.3. Робіт та послуг</t>
  </si>
  <si>
    <t>2.1. Готова продукція</t>
  </si>
  <si>
    <t>2.2. Товари</t>
  </si>
  <si>
    <t>2.3. Роботи та послуги</t>
  </si>
  <si>
    <t>2. Виробнича собівартість, всього</t>
  </si>
  <si>
    <t>УВАГА! Всі дані заповнюється у ГРИВНЯХ з двома знаками після коми!</t>
  </si>
  <si>
    <t>УВАГА! Баланс заповнюється у ТИСЯЧАХ гривень з одним знаком після коми!</t>
  </si>
  <si>
    <t>Якщо є непокритий збиток на початок періоду, то ПОМИЛКА</t>
  </si>
  <si>
    <r>
      <t xml:space="preserve">Дт 31 </t>
    </r>
    <r>
      <rPr>
        <b/>
        <sz val="14"/>
        <rFont val="Times New Roman"/>
        <family val="1"/>
        <charset val="204"/>
      </rPr>
      <t>Кт 48
Дт 48 Кт 37  ПЗБКВ</t>
    </r>
  </si>
  <si>
    <t>Баланс
додатковий капітал  (424 СдП)</t>
  </si>
  <si>
    <t>Баланс
додатковий капітал  (424 СдК)</t>
  </si>
  <si>
    <t>Таблиця 11 
Додатковий капітал, крім землі СдП
р. Т11.2  - Т11.2а гр.4</t>
  </si>
  <si>
    <t>Таблиця 11 
Додатковий капітал, крім землі СдК
р. Т11.2  - Т11.2а гр.7</t>
  </si>
  <si>
    <r>
      <t xml:space="preserve">передача, вибуття ОЗ, залишкова вартість яких обліковується у додатковому капіталі </t>
    </r>
    <r>
      <rPr>
        <sz val="14"/>
        <color indexed="10"/>
        <rFont val="Times New Roman"/>
        <family val="1"/>
        <charset val="204"/>
      </rPr>
      <t>Значення не може бути від’ємним!</t>
    </r>
  </si>
  <si>
    <t>Всього дохід без АММ + аванси ПМГ</t>
  </si>
  <si>
    <t xml:space="preserve">Таблиця 5.1
Операційні та неопераційні витрати без амортизації, всього </t>
  </si>
  <si>
    <t xml:space="preserve">Таблиця 5.1
Операційні та неопераційні витрати з амортизацією, всього </t>
  </si>
  <si>
    <t>Таблиця 4, р.4 гр.5
Дохід без доходу від амортизації, всього</t>
  </si>
  <si>
    <t>Таблиця 4, р.4 гр.5
Всього дохід</t>
  </si>
  <si>
    <t>Всього витрати з амортизацією</t>
  </si>
  <si>
    <t>Всього витрати без амортизації</t>
  </si>
  <si>
    <t>Амортизація (таблиця 6 п. 6.5) - (таблиця 4 + таблиця 13 р.13.2) &gt;=0, то ПРАВДА</t>
  </si>
  <si>
    <t>Верифікація Дт таблиці 11 з таблицею 10</t>
  </si>
  <si>
    <t>Верифікація Кт таблиці 11 з таблицею 10</t>
  </si>
  <si>
    <t>верифікація даних СдП та СдК</t>
  </si>
  <si>
    <t>3. Верифікація даних СдП та СдК таблиці 10 щодо основних засобів  з відповідними даними Балансу</t>
  </si>
  <si>
    <t>2. Верифікація - незавершені капітальні інвестиці</t>
  </si>
  <si>
    <t>На початок періоду</t>
  </si>
  <si>
    <t>На кінець періоду періоду</t>
  </si>
  <si>
    <t>8.1.4. Вирахування з доходу</t>
  </si>
  <si>
    <t>8.1.4.1.</t>
  </si>
  <si>
    <t xml:space="preserve">8.1.4.1. у тому числі через повернення залишку коштів по 33 пакету </t>
  </si>
  <si>
    <t>9.1.4.4. Ремонт</t>
  </si>
  <si>
    <t>9.1.4.5. Інші матеріальні витрати</t>
  </si>
  <si>
    <t>9.3.</t>
  </si>
  <si>
    <t>9.3. Виробнича собівартість готової продукції та товарів</t>
  </si>
  <si>
    <r>
      <rPr>
        <b/>
        <sz val="14"/>
        <color indexed="8"/>
        <rFont val="Times New Roman"/>
        <family val="1"/>
        <charset val="204"/>
      </rPr>
      <t xml:space="preserve">Фінансовий результат без амортизації
</t>
    </r>
    <r>
      <rPr>
        <sz val="14"/>
        <color indexed="8"/>
        <rFont val="Times New Roman"/>
        <family val="1"/>
        <charset val="204"/>
      </rPr>
      <t xml:space="preserve">
Доходи без доходів від амортизації - витрати (таблиця 5 виробнича собівартість готової продукції та товарів + витрати таблиця 5.1. без амортизації) &gt;= 0</t>
    </r>
  </si>
  <si>
    <r>
      <rPr>
        <b/>
        <sz val="14"/>
        <color indexed="8"/>
        <rFont val="Times New Roman"/>
        <family val="1"/>
        <charset val="204"/>
      </rPr>
      <t>Фінансовий результат</t>
    </r>
    <r>
      <rPr>
        <sz val="14"/>
        <color indexed="8"/>
        <rFont val="Times New Roman"/>
        <family val="1"/>
        <charset val="204"/>
      </rPr>
      <t xml:space="preserve">
Доходи - витрати (таблиця 5 виробнича собівартість готової продукції та товарів + витрати таблиця 5.1. з амортизацією) &gt;= 0</t>
    </r>
  </si>
  <si>
    <t>8а</t>
  </si>
  <si>
    <t xml:space="preserve">  1125.1.    у тому числі за ПМГ</t>
  </si>
  <si>
    <t>10а</t>
  </si>
  <si>
    <t>11а</t>
  </si>
  <si>
    <t>12а</t>
  </si>
  <si>
    <t>13а</t>
  </si>
  <si>
    <t>фінансовий результат без амортизації, тис. грн.</t>
  </si>
  <si>
    <t>фінансовий результат без амортизації,%</t>
  </si>
  <si>
    <t>результат  покриття витрат без амортизації, тис. грн.</t>
  </si>
  <si>
    <t>результат  покриття витрат без амортизації, %</t>
  </si>
  <si>
    <t>фінансовий результат, тис. грн.</t>
  </si>
  <si>
    <t>фінансовий результат, %</t>
  </si>
  <si>
    <t>результат  покриття витрат, тис. грн.</t>
  </si>
  <si>
    <t>результат  покриття витрат, %</t>
  </si>
  <si>
    <t>Необхідно відповісти на запитання: який метод дооцінки ННМА та ОЗ використовується?</t>
  </si>
  <si>
    <t>Дт 10 Кт 411; 
Дт 411 Кт 13</t>
  </si>
  <si>
    <t>Дт 10 Кт 411; 
Дт 10 Кт 13</t>
  </si>
  <si>
    <r>
      <rPr>
        <b/>
        <sz val="14"/>
        <color indexed="8"/>
        <rFont val="Times New Roman"/>
        <family val="1"/>
        <charset val="204"/>
      </rPr>
      <t>Верифікація Кт цієї таблиці з таблицею 10</t>
    </r>
    <r>
      <rPr>
        <sz val="14"/>
        <color indexed="8"/>
        <rFont val="Times New Roman"/>
        <family val="1"/>
        <charset val="204"/>
      </rPr>
      <t xml:space="preserve">
якщо Кт 411 = Дт "Первісна вартість дооцінки", то ПРАВДА
якщо </t>
    </r>
    <r>
      <rPr>
        <b/>
        <sz val="14"/>
        <color indexed="8"/>
        <rFont val="Times New Roman"/>
        <family val="1"/>
        <charset val="204"/>
      </rPr>
      <t>Кт 424</t>
    </r>
    <r>
      <rPr>
        <sz val="14"/>
        <color indexed="8"/>
        <rFont val="Times New Roman"/>
        <family val="1"/>
        <charset val="204"/>
      </rPr>
      <t xml:space="preserve"> =Дт "Капітальні інвестиції (безоплатно отримані)" = Кт "Капітальні інвестиції (безоплатно отримані)"  = Дт "(первісна вартість ОЗ + НА) безоплатно отримані " та СдК "Капітальні інвестиції (безоплатно отримані)"  = 0,  то Правда
якщо  </t>
    </r>
    <r>
      <rPr>
        <b/>
        <sz val="14"/>
        <color indexed="8"/>
        <rFont val="Times New Roman"/>
        <family val="1"/>
        <charset val="204"/>
      </rPr>
      <t>Кр 424</t>
    </r>
    <r>
      <rPr>
        <sz val="14"/>
        <color indexed="8"/>
        <rFont val="Times New Roman"/>
        <family val="1"/>
        <charset val="204"/>
      </rPr>
      <t xml:space="preserve"> =  Дт "(первісна вартість ОЗ + НА) безоплатно отримані " та СдК "Капітальні інвестиції (безоплатно отримані)"  &gt; 0, то Увага
якщо </t>
    </r>
    <r>
      <rPr>
        <b/>
        <sz val="14"/>
        <color indexed="8"/>
        <rFont val="Times New Roman"/>
        <family val="1"/>
        <charset val="204"/>
      </rPr>
      <t>Кт 69</t>
    </r>
    <r>
      <rPr>
        <sz val="14"/>
        <color indexed="8"/>
        <rFont val="Times New Roman"/>
        <family val="1"/>
        <charset val="204"/>
      </rPr>
      <t xml:space="preserve"> = Кт "Капітальні інвестиції (ЦФ)" введено в експлуатацію =Дт "первісна вартість ОЗ + НА", то ПРАВДА
</t>
    </r>
  </si>
  <si>
    <t>варіант 
№1</t>
  </si>
  <si>
    <t>варіант 
№2</t>
  </si>
  <si>
    <t>1. Первісна вартість дооцінки проходить по Кт 411, а дооцінку зносу - по Дт 411
якщо варіант №1, то у комірці І56 по замовчанню стоїть  цифра 1, якщо варіант №2  - то у комірці І56 потрібно цифру 1 замінити на 0</t>
  </si>
  <si>
    <t xml:space="preserve">*при варіанті №2 проведення  не враховується у суму Дт 411 </t>
  </si>
  <si>
    <t>маркер правильності відображення вибору варіанту дооцінки:
якщо у варіанті №1 стоїть 1, то у варіанті №2 має стояти 0;
якщо у варіанті №1 стоїть 0, то у варіанті №2 має стояти 2;</t>
  </si>
  <si>
    <t>2. Залишкова вартість дооцінки проходить по Кт 411
якщо варант №2, то поставте цифру 2 в комірку І 57</t>
  </si>
  <si>
    <r>
      <t xml:space="preserve"> 48 Дт= 48СдП-48СдК+48 Кт 
</t>
    </r>
    <r>
      <rPr>
        <b/>
        <sz val="14"/>
        <color indexed="10"/>
        <rFont val="Times New Roman"/>
        <family val="1"/>
        <charset val="204"/>
      </rPr>
      <t>Значення не може бути від’ємним!</t>
    </r>
  </si>
  <si>
    <t>14а</t>
  </si>
  <si>
    <t>15а</t>
  </si>
  <si>
    <t>Якщо є оприбуткування та/або витрати за статтею "Кров та її компоненти", то мають бути заповнені відповідні дані у таблиці Кров та/або її компоненти (вкладка Звіт 7,8)</t>
  </si>
  <si>
    <t xml:space="preserve">варіант дооцінки </t>
  </si>
  <si>
    <t>Придбання та оприбуткування, грн.</t>
  </si>
  <si>
    <t>Витрати, грн.</t>
  </si>
  <si>
    <t>Дози, одиниць</t>
  </si>
  <si>
    <t>Кров та/або її компоненти</t>
  </si>
  <si>
    <t>2True</t>
  </si>
  <si>
    <t>4True</t>
  </si>
  <si>
    <t>Т10.1.4.</t>
  </si>
  <si>
    <t>Т11.2 гр.5 + Таблиця 10.1. р.10.1.4 гр.4</t>
  </si>
  <si>
    <t>Т10.1.2. +Т10.3.2 гр.15 (Дт цільові витрати Кт 13 безоплатно отримані)+ Таблиця 10.1. р.10.1.4 гр.4</t>
  </si>
  <si>
    <r>
      <t xml:space="preserve">Таблиця 10.1. Зміна джерела надходження з статутного капіталу на безоплатно отримані в частині НА та ОЗ  у періоді 
</t>
    </r>
    <r>
      <rPr>
        <sz val="18"/>
        <color indexed="10"/>
        <rFont val="Times New Roman"/>
        <family val="1"/>
        <charset val="204"/>
      </rPr>
      <t>-  заповнюється у разі наявності таких операцій</t>
    </r>
  </si>
  <si>
    <r>
      <t xml:space="preserve">верифікація даних щодо </t>
    </r>
    <r>
      <rPr>
        <b/>
        <sz val="16"/>
        <rFont val="Times New Roman"/>
        <family val="1"/>
        <charset val="204"/>
      </rPr>
      <t>незавершених капітальних інвестицій</t>
    </r>
  </si>
  <si>
    <r>
      <t>Якщо СдК  суми залишків капітальних інвестицій, що отримані з бюджету або як благодійна допомога з р.1525 Балансу = р. Т 10.2 гр.</t>
    </r>
    <r>
      <rPr>
        <sz val="16"/>
        <rFont val="Times New Roman"/>
        <family val="1"/>
        <charset val="204"/>
      </rPr>
      <t>21</t>
    </r>
    <r>
      <rPr>
        <sz val="16"/>
        <color indexed="8"/>
        <rFont val="Times New Roman"/>
        <family val="1"/>
        <charset val="204"/>
      </rPr>
      <t xml:space="preserve">  Капітальні інвестиції, отримані як ЦФ, то ПРАВДА</t>
    </r>
  </si>
  <si>
    <r>
      <t xml:space="preserve">Сальдо на кінець  звітного періоду ОСВ </t>
    </r>
    <r>
      <rPr>
        <sz val="16"/>
        <color indexed="10"/>
        <rFont val="Times New Roman"/>
        <family val="1"/>
        <charset val="204"/>
      </rPr>
      <t>(враховується Дт та Кт додаткового капіталу, які перенесені з статутного капіталу, таблиця 10.1)</t>
    </r>
  </si>
  <si>
    <r>
      <t>Таблиця 12. Передача, вибуття НА, ТМЦ та незавершених капітальних інвестицій, що отримані як цільове фінансування, безоплатно отримані</t>
    </r>
    <r>
      <rPr>
        <i/>
        <sz val="16"/>
        <rFont val="Times New Roman"/>
        <family val="1"/>
        <charset val="204"/>
      </rPr>
      <t>, гривень</t>
    </r>
  </si>
  <si>
    <r>
      <t xml:space="preserve">Всього по Дт 411 </t>
    </r>
    <r>
      <rPr>
        <i/>
        <sz val="16"/>
        <rFont val="Times New Roman"/>
        <family val="1"/>
        <charset val="204"/>
      </rPr>
      <t>(р.Т11.1 гр.5)</t>
    </r>
  </si>
  <si>
    <r>
      <t xml:space="preserve">передача, вибуття ОЗ, що були дооцінені  (Дт 411 Кт 441) </t>
    </r>
    <r>
      <rPr>
        <i/>
        <sz val="16"/>
        <color indexed="23"/>
        <rFont val="Times New Roman"/>
        <family val="1"/>
        <charset val="204"/>
      </rPr>
      <t>(таблиця 12, р. Т12.4)</t>
    </r>
  </si>
  <si>
    <r>
      <t>Сальдо напочаток звітного періоду (</t>
    </r>
    <r>
      <rPr>
        <u/>
        <sz val="16"/>
        <color indexed="8"/>
        <rFont val="Times New Roman"/>
        <family val="1"/>
        <charset val="204"/>
      </rPr>
      <t>таблиця 11</t>
    </r>
    <r>
      <rPr>
        <sz val="16"/>
        <color indexed="8"/>
        <rFont val="Times New Roman"/>
        <family val="1"/>
        <charset val="204"/>
      </rPr>
      <t>, гр.4)</t>
    </r>
  </si>
  <si>
    <r>
      <t>Дебет ОСВ
(</t>
    </r>
    <r>
      <rPr>
        <u/>
        <sz val="16"/>
        <color indexed="8"/>
        <rFont val="Times New Roman"/>
        <family val="1"/>
        <charset val="204"/>
      </rPr>
      <t>таблиця 11</t>
    </r>
    <r>
      <rPr>
        <sz val="16"/>
        <color indexed="8"/>
        <rFont val="Times New Roman"/>
        <family val="1"/>
        <charset val="204"/>
      </rPr>
      <t>, гр.5)</t>
    </r>
  </si>
  <si>
    <r>
      <t>Кредит ОСВ (</t>
    </r>
    <r>
      <rPr>
        <u/>
        <sz val="16"/>
        <color indexed="8"/>
        <rFont val="Times New Roman"/>
        <family val="1"/>
        <charset val="204"/>
      </rPr>
      <t>таблиця 11</t>
    </r>
    <r>
      <rPr>
        <sz val="16"/>
        <color indexed="8"/>
        <rFont val="Times New Roman"/>
        <family val="1"/>
        <charset val="204"/>
      </rPr>
      <t xml:space="preserve"> гр.6)</t>
    </r>
  </si>
  <si>
    <r>
      <t>Сальдо на кінець звітного періоду
(</t>
    </r>
    <r>
      <rPr>
        <u/>
        <sz val="16"/>
        <color indexed="8"/>
        <rFont val="Times New Roman"/>
        <family val="1"/>
        <charset val="204"/>
      </rPr>
      <t>таблиця 11</t>
    </r>
    <r>
      <rPr>
        <sz val="16"/>
        <color indexed="8"/>
        <rFont val="Times New Roman"/>
        <family val="1"/>
        <charset val="204"/>
      </rPr>
      <t>, гр.8)</t>
    </r>
  </si>
  <si>
    <r>
      <t>Первісна вартість дооцінки</t>
    </r>
    <r>
      <rPr>
        <sz val="16"/>
        <color indexed="8"/>
        <rFont val="Times New Roman"/>
        <family val="1"/>
        <charset val="204"/>
      </rPr>
      <t xml:space="preserve">
р.Т10.1.3.1.+ р.Т10.3.3.1. гр.9</t>
    </r>
  </si>
  <si>
    <t>ДООЦІНКА  ЗНОСУ в періоді 
варіант 1 (Дт 411 Кт 13)
варіант 2 (Дт 10 Кт 13)*</t>
  </si>
  <si>
    <t>амортизація дооцінки (одночасно: Дт витратних рахунків Кт 13, Дт 411 Кт 441)  (р.Т10.3.3.2 + р. Т10.1.3.2. гр.14- Т13.2)</t>
  </si>
  <si>
    <t>НЕОБХІДНО ЗАПОВНИТИ!</t>
  </si>
  <si>
    <t>Якщо у Балансі є статутний капітал (відповідно до статуту складається з НА), то у таблиці 10  має бути первісна вартість ННМА та ОЗ в графі "статутний капітал"</t>
  </si>
  <si>
    <t>Мають бути відсутні дані у Балансі р. 1035 Довгострокові інші фінансові інвестиції. Тут відображаються фінансові інвестиції на період більше одного року, а також усі інвестиції, які не можуть бути вільно реалізовані в будь-який момент. У цій статті виділя</t>
  </si>
  <si>
    <t>Цільовий інший операційний дохід (71 ЦФ) р. 4.2.1., гр. 5  таблиця 4 = розрахованому за формулою 71ЦФ=цільові витрати таблиця 5.1.р.1.1.гр.14</t>
  </si>
  <si>
    <t>1.2.1.</t>
  </si>
  <si>
    <t>1.2.2.</t>
  </si>
  <si>
    <t>1.2.3.</t>
  </si>
  <si>
    <t xml:space="preserve">1.4. </t>
  </si>
  <si>
    <t xml:space="preserve">щокварталу до останнього дня місяця, наступного за звітним періодом </t>
  </si>
  <si>
    <t>Витрати періоду</t>
  </si>
  <si>
    <t>2. Рух грошових коштів</t>
  </si>
  <si>
    <t>ЗВІТ ПРО ДОХОДИ ТА ВИТРАТИ за 1 квартал 2021 року</t>
  </si>
  <si>
    <t>5</t>
  </si>
  <si>
    <t>6</t>
  </si>
  <si>
    <t>7</t>
  </si>
  <si>
    <t>Грошові кошти та поточні фінансові інвестиції на початок року</t>
  </si>
  <si>
    <t>Рух запасів</t>
  </si>
  <si>
    <t>Показники</t>
  </si>
  <si>
    <r>
      <t xml:space="preserve">штатних у % до всього 
</t>
    </r>
    <r>
      <rPr>
        <b/>
        <i/>
        <sz val="16"/>
        <color indexed="10"/>
        <rFont val="Times New Roman"/>
        <family val="1"/>
        <charset val="204"/>
      </rPr>
      <t>Увага! Не може бути низький відсоток</t>
    </r>
  </si>
  <si>
    <t>перевірка</t>
  </si>
  <si>
    <t>Інший операційний дохід від надання майна в оренду</t>
  </si>
  <si>
    <t>Таблиця 1
надходження  грошових коштів (благодійна допомога)</t>
  </si>
  <si>
    <t>Таблиці 2, 3
сума відповідні придбання ТМЦ + КАПінвестиції (благодійна допомога)</t>
  </si>
  <si>
    <t xml:space="preserve">Сума цільових надходжень (грошові кошти) всього  &gt;= відповідні придбання ТМЦ + КАПінвестиції </t>
  </si>
  <si>
    <t>перевірка даних таблиць на від’ємні значення</t>
  </si>
  <si>
    <t>співвідношення надходжень до відповідних придбань</t>
  </si>
  <si>
    <t xml:space="preserve">71 ЦФ
Розрахований за бухгалтерською формулою
71 ЦФ  = 48 Дт - 69 Кт - Т12.1 передача ТМЦ   - Т12.1 А передача КАП  -ПЦФБ
  </t>
  </si>
  <si>
    <t>р. 1125 Балансу, всього СдП</t>
  </si>
  <si>
    <t>р. 1125 Балансу, всього СдК</t>
  </si>
  <si>
    <t>р. 1155 Балансу, всього СдК</t>
  </si>
  <si>
    <t>2. Верифікація даних СдП та СдК таблиці 10 щодо нематеріальних активів з відповідними даними Балансу</t>
  </si>
  <si>
    <t>Якщо СдК  суми залишків капітальних інвестицій, що отримані з бюджету або як благодійна допомога з р.1525 Балансу = р. Т 10.2 гр.21  Капітальні інвестиції, отримані як ЦФ, то ПРАВДА</t>
  </si>
  <si>
    <t>Якщо СдП  суми залишків капітальних інвестицій  р.1005 Балансу = р. Т 10.2 гр.4  Капітальні інвестиції, то ПРАВДА</t>
  </si>
  <si>
    <t>Якщо СдК  суми залишків капітальних інвестицій  р.1005 Балансу = р. Т 10.2 гр.19  Капітальні інвестиції, то ПРАВДА</t>
  </si>
  <si>
    <t>Баланс
цільове фінансування інше</t>
  </si>
  <si>
    <t>Стоматологічна допомога дорослим та дітям</t>
  </si>
  <si>
    <t>Ведення вагітності в амбулаторних умовах</t>
  </si>
  <si>
    <r>
      <t xml:space="preserve">Вакцинація від гострої респіраторної хвороби </t>
    </r>
    <r>
      <rPr>
        <sz val="14"/>
        <color indexed="8"/>
        <rFont val="Times New Roman"/>
        <family val="1"/>
        <charset val="204"/>
      </rPr>
      <t>COVID-19, спричиненої короновірусом SARS-CoV-2</t>
    </r>
  </si>
  <si>
    <t xml:space="preserve">Лікування та супровід пацієнтів з гематологічними та онкогематологічними захворюваннями у дорослих та дітей в амбулаторних та стаціонарних умовах </t>
  </si>
  <si>
    <t xml:space="preserve">Супровід та лікування дорослих та дітей, хворих на туберкульоз, на первинному рівні медичної допомоги </t>
  </si>
  <si>
    <r>
      <t xml:space="preserve">Лікування пацієнтів методом перитонеального діалізу в амбулаторних умовах  </t>
    </r>
    <r>
      <rPr>
        <b/>
        <sz val="12"/>
        <color indexed="8"/>
        <rFont val="Calibri"/>
        <family val="2"/>
        <charset val="204"/>
      </rPr>
      <t/>
    </r>
  </si>
  <si>
    <t xml:space="preserve">Психіатрична допомога, яка надається мобільними мультидисциплінарними командами з охорони психічного здоров’я </t>
  </si>
  <si>
    <t xml:space="preserve">Готовність до реагування на інфекційні захворювання та епідемії </t>
  </si>
  <si>
    <t>10.</t>
  </si>
  <si>
    <t>Співвідношення надходжень (таблиця 1) та відповідних доходів (таблиця 4)</t>
  </si>
  <si>
    <t>Таблиця 4
Дохід від надання медичних та немедичних послуг за кошти фізичних і юридичних осіб та страхових виплат</t>
  </si>
  <si>
    <t>Таблиця 1
Надходження від надання медичних та немедичних послуг за кошти фізичних і юридичних осіб та страхових виплат</t>
  </si>
  <si>
    <t>р. 1635 Балансу, всього СдП</t>
  </si>
  <si>
    <t>р. 1635 Балансу, всього СдК</t>
  </si>
  <si>
    <t xml:space="preserve">Таблиця 4
Роботи та послуги  мінус дохід за програмою медичних гарантій </t>
  </si>
  <si>
    <t>Таблиця 4, р. 4.1.3.1 гр.5 (з додатку Доходи ПМГ р.1 гр.5)</t>
  </si>
  <si>
    <t>Таблиця 4, р. 4.1. гр.5
Дохід від реалізації</t>
  </si>
  <si>
    <t xml:space="preserve">Таблиця 1
Надходження ПМГ </t>
  </si>
  <si>
    <t>Таблиця 9
681СдП  Аванси ПМГ</t>
  </si>
  <si>
    <t xml:space="preserve">Таблиця 4
Вирахування з доходу  мінус повернення залишку коштів по 33 пакету </t>
  </si>
  <si>
    <r>
      <t xml:space="preserve">Таблиця 13
Корегування прибутку з дооцінки (Дт 411 </t>
    </r>
    <r>
      <rPr>
        <b/>
        <sz val="14"/>
        <rFont val="Times New Roman"/>
        <family val="1"/>
        <charset val="204"/>
      </rPr>
      <t>Кт 441</t>
    </r>
    <r>
      <rPr>
        <sz val="14"/>
        <rFont val="Times New Roman"/>
        <family val="1"/>
        <charset val="204"/>
      </rPr>
      <t>)</t>
    </r>
  </si>
  <si>
    <r>
      <rPr>
        <b/>
        <sz val="14"/>
        <rFont val="Times New Roman"/>
        <family val="1"/>
        <charset val="204"/>
      </rPr>
      <t>Покриття витрат без амортизації
Доходи</t>
    </r>
    <r>
      <rPr>
        <sz val="14"/>
        <rFont val="Times New Roman"/>
        <family val="1"/>
        <charset val="204"/>
      </rPr>
      <t xml:space="preserve"> без доходів від амортизації з авансами ПМГ - </t>
    </r>
    <r>
      <rPr>
        <b/>
        <sz val="14"/>
        <rFont val="Times New Roman"/>
        <family val="1"/>
        <charset val="204"/>
      </rPr>
      <t>витрати</t>
    </r>
    <r>
      <rPr>
        <sz val="14"/>
        <rFont val="Times New Roman"/>
        <family val="1"/>
        <charset val="204"/>
      </rPr>
      <t xml:space="preserve"> (таблиця 5 виробнича собівартість готової продукції та товарів + витрати таблиця 5.1. без амортизації) &gt;= 0  </t>
    </r>
  </si>
  <si>
    <r>
      <rPr>
        <b/>
        <sz val="14"/>
        <rFont val="Times New Roman"/>
        <family val="1"/>
        <charset val="204"/>
      </rPr>
      <t xml:space="preserve">Покриття витрат з амортизацією
</t>
    </r>
    <r>
      <rPr>
        <sz val="14"/>
        <rFont val="Times New Roman"/>
        <family val="1"/>
        <charset val="204"/>
      </rPr>
      <t xml:space="preserve">
Доходи +  аванси ПМГ + коригування прибутку з дооцінки  - витрати (таблиця 5 виробнича собівартість готової продукції та товарів + витрати таблиця 5.1. з амортизацією)) &gt;= 0  </t>
    </r>
  </si>
  <si>
    <t>Цільове фінансування інше СдП</t>
  </si>
  <si>
    <t>Цільове фінансування інше СдК</t>
  </si>
  <si>
    <t>р. 1130 Балансу,  СдП
Дебіторська заборгованість за виданими авансами</t>
  </si>
  <si>
    <t>р. 1130 Балансу,  СдК
Дебіторська заборгованість за виданими авансами</t>
  </si>
  <si>
    <t>р. 1135 Балансу,  СдП
Гроші та їх еквіваленти</t>
  </si>
  <si>
    <t>р. 1135 Балансу,  СдК
Гроші та їх еквіваленти</t>
  </si>
  <si>
    <t>р. 1135 Балансу  Додатковий капітал інше
СдП+Сдк</t>
  </si>
  <si>
    <t xml:space="preserve">р. 1660 Балансу, СдП
Поточні забезпечення </t>
  </si>
  <si>
    <t xml:space="preserve">р. 1660 Балансу, СдК
Поточні забезпечення </t>
  </si>
  <si>
    <t>Дані р. "Цільове фінансування інше" Балансу мають бути менше або рівними сумі залишку грошових коштів та авансів</t>
  </si>
  <si>
    <t>Дані р. "Додатковий капітал інше" Балансу мають дорівнювати 0</t>
  </si>
  <si>
    <t xml:space="preserve"> Дані р. 1665 Балансу "Доходи майбутніх періодів (всього)" не можуть бути меншими, ніж залишкова вартість НА, ОЗ що  придбані за кошти цільового фінансування</t>
  </si>
  <si>
    <t>Дані р. 1525 Балансу "Цільове фінансування (всього)" не можуть бути меншими, ніж сума відповідних рядків із запасами та капітальними інвестиціями;</t>
  </si>
  <si>
    <t xml:space="preserve"> (відповідне надходження  з урахуванням 36 та 381) /1,2 &lt;= дохід  &lt;= відповідне надходження з урахуванням 36 та 381</t>
  </si>
  <si>
    <t>відхилення надходження на 2 міс. - СдП</t>
  </si>
  <si>
    <t>відхилення ВОП - СдП</t>
  </si>
  <si>
    <t>Таблиця 1, гр.5
Надходження ПМГ</t>
  </si>
  <si>
    <t xml:space="preserve">Таблиці 2, 3, 4
сума відповідні придбання ТМЦ + КАПінвестиції + дохід від безоплатно наданої послуги </t>
  </si>
  <si>
    <t>Баланс, СдП рядок "заборгованість бюджету з цільового фінансування (Дт 37 ЗБЦФ Кт 48)"</t>
  </si>
  <si>
    <t>Таблиця 1, гр.14
Погашення заборгованості бюджету з цільового фінансування</t>
  </si>
  <si>
    <t>Дані р. "доходи майбутніх періодів інше" Балансу  не  більше двох  місячних сум  від надання майна в оренду  (якщо Договор містить предоплати за останні місяці)</t>
  </si>
  <si>
    <t>р. 1170  Балансу «Витрати майбутніх періодів», СдП</t>
  </si>
  <si>
    <t>р. 1170  Балансу «Витрати майбутніх періодів», СдК</t>
  </si>
  <si>
    <t>Таблиця 1 , надходження, всього, млн. грн.</t>
  </si>
  <si>
    <t xml:space="preserve">Валідація даних р. 1170  Балансу «Витрати майбутніх періодів» </t>
  </si>
  <si>
    <t xml:space="preserve">Таблиця 13, р. Т13.2.
амортизація дооцінки (одночасно: Дт витратних рахунків Кт 13, Дт 411 Кт 441)  </t>
  </si>
  <si>
    <t xml:space="preserve">Таблиця 13, р. Т13.1.
ДООЦІНКА  ЗНОСУ в періоді </t>
  </si>
  <si>
    <t>Таблиця 10 СдК, якщо дані &gt;= 0, то ПРАВДА</t>
  </si>
  <si>
    <t>з урахуванням коригування</t>
  </si>
  <si>
    <t xml:space="preserve">Таблиця 1 Надходження від надання майна в оренду </t>
  </si>
  <si>
    <t xml:space="preserve">Цільове фінансування в частині залишків запасів та незавершених капітальних інвестицій 
1. Відповідні дані Пасиву Балансу дорівнюють сумі залишків запасів  та незавершених капітальних інвестицій, отриманих як ЦФ у таблиці 10;
2. Перевірка Дт незавершених капітальних інвестицій, отримані як цільове фінансування у таблиці 10 із відповідними даними у таблиці 3;
3. Перевірка даних СдП та СдК таблиці 10 щодо незавершених капітальних інвестицій  з відповідними даними Балансу.
</t>
  </si>
  <si>
    <t>р. 1420 СдК Нерозподілений прибуток</t>
  </si>
  <si>
    <t>Баланс Пасив СдК
сума рядків 1600, 1610, 1615, 1620, 1625, 1630, 1635, 1660, доходи майбутніх періодів інше, цільове фінансування інше, 1691</t>
  </si>
  <si>
    <t>16True</t>
  </si>
  <si>
    <t>13True, 1 Увага</t>
  </si>
  <si>
    <t>р. 1420 СдП Нерозподілений прибуток</t>
  </si>
  <si>
    <t>Баланс Пасив СдП
сума рядків 1600, 1610, 1615, 1620, 1625, 1630, 1635, 1660, доходи майбутніх періодів інше, цільове фінансування інше, 1691</t>
  </si>
  <si>
    <t>мінус Баланс 
36СдП 
 Дебіторська заборгованість за медичні та немедичні послуги за кошти фізичних і юридичних осіб, за страхові виплати</t>
  </si>
  <si>
    <t>плюс  Баланс 
36СдК 
Дебіторська заборгованість за медичні та немедичні послуги за кошти фізичних і юридичних осіб, за страхові виплати</t>
  </si>
  <si>
    <t>плюс  Баланс 
681СдП 
Поточна кредиторська заборгованість за отриманими авансами за медичні та немедичні послуги за кошти фізичних і юридичних осіб, за страховими виплатами</t>
  </si>
  <si>
    <t>мінус  Баланс 
681СдК 
Поточна кредиторська заборгованість за отриманими авансами за медичні та немедичні послуги за кошти фізичних і юридичних осіб, за страховими виплатами</t>
  </si>
  <si>
    <t>Інші надходження</t>
  </si>
  <si>
    <t xml:space="preserve">з гр. 5  у тому числі </t>
  </si>
  <si>
    <t>компенсації за комунальні платежі від орендаря</t>
  </si>
  <si>
    <t>надходження відсотків банку від депозиту</t>
  </si>
  <si>
    <t>нецільова благодійна допомога від юридичних осіб</t>
  </si>
  <si>
    <t>нецільова благодійна допомога від фізичних осіб</t>
  </si>
  <si>
    <t>надходження лікарняних від ФСС</t>
  </si>
  <si>
    <t>Норма тривалості робочого часу на 2021 рік, лист  Міністерства розвитку економіки, торгівлі та сільського господарства України  від 12.08.2020 р. №3501/06/219 при 40-годинному робочому тижні</t>
  </si>
  <si>
    <t>відхилення ВОП на місяць /12 х 3  - СдК</t>
  </si>
  <si>
    <t xml:space="preserve">Дані р. 1690 "Інші поточні зобов’язання" не може містити суттєвих сум </t>
  </si>
  <si>
    <t xml:space="preserve">р. доходи майбутніх періодів інше Балансу, СдП
</t>
  </si>
  <si>
    <t xml:space="preserve">р. доходи майбутніх періодів інше Балансу, СдК
</t>
  </si>
  <si>
    <t xml:space="preserve">р.1690 Балансу, СдП
</t>
  </si>
  <si>
    <t xml:space="preserve">р.1690 Балансу, СдК
</t>
  </si>
  <si>
    <t xml:space="preserve"> Дані р. 1190  Балансу  «Інші оборотні активи" не може містити суттєвих сум </t>
  </si>
  <si>
    <t>р. 1190  Балансу  «Інші оборотні активи"  СдП</t>
  </si>
  <si>
    <t>р. 1190  Балансу  «Інші оборотні активи"  СдК</t>
  </si>
  <si>
    <t xml:space="preserve">Валідація іншого операційного доходу </t>
  </si>
  <si>
    <t>Таблиця 4, р. 4.3.3. гр.5
Інший неопераційний дохід</t>
  </si>
  <si>
    <t>Якщо у році зменшено статутний та неоплачений капітал, то має бути заповнена таблиця 10.1.</t>
  </si>
  <si>
    <t>Таблиця 10 
залишкова вартість ОЗ, отриманих як статутний капітал
СдП</t>
  </si>
  <si>
    <t>Таблиця 10 
залишкова вартість ОЗ, отриманих як статутний капітал
СдК</t>
  </si>
  <si>
    <t>Баланс
Статутний капітал + неоплачений капітал 
СдП</t>
  </si>
  <si>
    <t>Баланс
Статутний капітал + неоплачений капітал 
СдК</t>
  </si>
  <si>
    <t>відхилення статутний капітал - залишкова вартість ОЗ
СдП</t>
  </si>
  <si>
    <t>відхилення статутний капітал - залишкова вартість ОЗ
СдК</t>
  </si>
  <si>
    <t>Обсяг статутний капітал + неоплачений капітал має бути не менше, ніж залишкова вартість ОЗ, отриманих як статутний капітал</t>
  </si>
  <si>
    <t>відхилення
інший неопераційний дохід мінус надходження відсотків банку від депозиту</t>
  </si>
  <si>
    <t>Таблиця 1
Нецільова благодійна допомога</t>
  </si>
  <si>
    <t>Таблиця 5.1 
Неопераційні витрати</t>
  </si>
  <si>
    <t xml:space="preserve">відхилення
інший неопераційний дохід мінус неопераційні витрати (97) </t>
  </si>
  <si>
    <t>Валідація іншого неопераційного доходу</t>
  </si>
  <si>
    <t>Роботи та послуги (таблиця 4) мають бути рівними або більше, ніж дохід за програмою медичних гарантій</t>
  </si>
  <si>
    <t>Дохід за програмою медичних гарантій  &gt; 0</t>
  </si>
  <si>
    <t>Вирахування з доходу має бути не більше, ніж повернення залишку коштів по 33 пакету</t>
  </si>
  <si>
    <t>Валідація іншого операційного доходу</t>
  </si>
  <si>
    <t>Співвідношення ІОД до доходу від реалізації, %</t>
  </si>
  <si>
    <t>Таблиця 1
Надходження від надання майна в оренду та компенсаціій за комунальні платежі від орендаря</t>
  </si>
  <si>
    <t>Таблиця 4
Дохід від надання майна в оренду та компенсаціій за комунальні платежі від орендаря</t>
  </si>
  <si>
    <t>СдК
Розрахунково нерозподілений прибуток</t>
  </si>
  <si>
    <t>СдП
Розрахунково нерозподілений прибуток</t>
  </si>
  <si>
    <t>результат верифікації СдП та СдК у таблицях 10, 11 та Балансі</t>
  </si>
  <si>
    <t>Таблиця 10.1.
Нематеріальні активи (ННМА)</t>
  </si>
  <si>
    <t>Таблиця 10.1.
Основні засоби</t>
  </si>
  <si>
    <t>Зміна СТ</t>
  </si>
  <si>
    <t>703 ПМГ (Дохід ПМГ)</t>
  </si>
  <si>
    <t>Баланс Актив СдП
сума рядків 1125, 1130, 1155 , 1160, 1165, 1170 ,1190</t>
  </si>
  <si>
    <t>Баланс Актив СдК
сума рядків 1125, 1130, 1155 , 1160, 1165, 1170, 1190</t>
  </si>
  <si>
    <t>Валідація по сумі доходів майбутніх періодів</t>
  </si>
  <si>
    <t>Якщо є заборгованість бюджету з цільового фінансування, то ця сума має бути в р. 1615 "Поточна кредиторська заборгованість за товари, роботи, послуги"</t>
  </si>
  <si>
    <t xml:space="preserve">СдП
заборгованість бюджету з цільового фінансування 
(Дт 37 ЗБЦФ Кт 48) </t>
  </si>
  <si>
    <t xml:space="preserve">СдК
заборгованість бюджету з цільового фінансування 
(Дт 37 ЗБЦФ Кт 48) </t>
  </si>
  <si>
    <t>СдП
р. 1615 "Поточна кредиторська заборгованість за товари, роботи, послуги"</t>
  </si>
  <si>
    <t>СдК
р. 1615 "Поточна кредиторська заборгованість за товари, роботи, послуги"</t>
  </si>
  <si>
    <t>Відхилення 63 від 37 ЗБЦФ</t>
  </si>
  <si>
    <t>Баланс
Зміна статутного та неоплачено капіталу СдП - СдК (зменшення зі знаком"+", збільшення зі знаком"-")</t>
  </si>
  <si>
    <t xml:space="preserve">Баланс СдП
Статутний + неоплачений капітал </t>
  </si>
  <si>
    <t xml:space="preserve">Баланс СдК
Статутний + неоплачений капітал </t>
  </si>
  <si>
    <r>
      <t xml:space="preserve">Таблиця 13
Т13.2 Амортизація дооцінки
</t>
    </r>
    <r>
      <rPr>
        <b/>
        <sz val="14"/>
        <color indexed="10"/>
        <rFont val="Times New Roman"/>
        <family val="1"/>
        <charset val="204"/>
      </rPr>
      <t>Значення не може бути від’ємним!</t>
    </r>
  </si>
  <si>
    <t>відхилення 
надходження на 2 міс. - СдК</t>
  </si>
  <si>
    <t>Таблиця 1
Дохід (надходження) відсотків банку від депозиту</t>
  </si>
  <si>
    <t>Якщо дохід від  депозиту в банку більше, ніж його розрахункова величина, то ПРАВДА</t>
  </si>
  <si>
    <t>Дані р.1430  "Вилучений капітал " Балансу мають дорівнювати 0</t>
  </si>
  <si>
    <t>Наявність грошових коштів з бюджетів (таблиця 1 гр.6+гр.8)</t>
  </si>
  <si>
    <t>Верифікація, обороти бюджету
Баланс СдП 37 ЗБКВ +Дт 37 ЗБКВ -Баланс СдК 37 ЗБКВ
= Кт 37 ПЗБКВ</t>
  </si>
  <si>
    <t>Верифікація, обороти бюджету
Баланс СдП 37 ЗБЦФ +Дт 37 ЗБЦФ -Баланс СдК 37 ЗБЦФ 
= Кт 37 ПЗБЦФ</t>
  </si>
  <si>
    <t>Верифікація Т1 гр. 19
обороти бюджету
Баланс СдП 37 ЗБКВ +Дт 37 ЗБКВ -Баланс СдК 37 ЗБКВ
= Кт 37 ПЗБКВ</t>
  </si>
  <si>
    <t>Верифікація Т1 гр. 15
обороти бюджету
Баланс СдП 37 ЗБЦФ +Дт 37 ЗБЦФ -Баланс СдК 37 ЗБЦФ 
= Кт 37 ПЗБЦФ</t>
  </si>
  <si>
    <t>Умовна (тимчасово)</t>
  </si>
  <si>
    <t>Індивідуальний аналіз</t>
  </si>
  <si>
    <t>Таблиця 4, р. 4.2. гр.5
Інший операційний дохід без доходу  для покриття витрат (збитків) за рахунок бюджету  (Дт 37 ЗБКВ Кт 719)</t>
  </si>
  <si>
    <t>Таблиця 1
Дохід (надходження) відсотків банку від депозиту, який не є неопераційним доходом</t>
  </si>
  <si>
    <t>верифікації</t>
  </si>
  <si>
    <t>Загальний дохід (доходи,  аванси ПМГ та коригування прибутку по дооцінці )</t>
  </si>
  <si>
    <t>Результат (різниця між загальним  доходом та витратами періоду)</t>
  </si>
  <si>
    <t>з таблиці 8.1</t>
  </si>
  <si>
    <r>
      <t xml:space="preserve">Вирахування з доходу </t>
    </r>
    <r>
      <rPr>
        <i/>
        <sz val="11"/>
        <rFont val="Times New Roman"/>
        <family val="1"/>
        <charset val="204"/>
      </rPr>
      <t>(сума наданих після дати реалізації знижок покупцям, вартість повернених покупцем продукції та товарів та інші суми, що підлягають вирахуванню з доходу)</t>
    </r>
  </si>
  <si>
    <t>Нецільова благодійна допомога</t>
  </si>
  <si>
    <t>Цільова благодійна допомога</t>
  </si>
  <si>
    <t>1635.2</t>
  </si>
  <si>
    <t>1125.2</t>
  </si>
  <si>
    <t>4а</t>
  </si>
  <si>
    <t>На початок звітного періоду з урахуванням коригування та прийняття на баланс</t>
  </si>
  <si>
    <t>З балансу на баланс у звітному періоді</t>
  </si>
  <si>
    <t xml:space="preserve">
Якщо є заборгованість з цільового фінансування на початок періоду, то має бути погашення заборгованості бюджету з цільового фінансування  (Дт 31 Кт 37 ПЗБЦФ) </t>
  </si>
  <si>
    <t>Таблиця 10, р. Т10.1.3 +Т10.3.3 гр. 4 - таблиця 11 СдП 411 земля
СдП залишков вартість дооцінки крім дооцінки землі</t>
  </si>
  <si>
    <t>Таблиця 10, р. Т10.3.3.1. гр. 9- таблиця 11, р. Т11.1а, гр.6 земля в дооцінках, Кт 411
первісна вартість дооцінки Дт без дооцінки землі</t>
  </si>
  <si>
    <t>Сума
Т 13.1 + Т 13.2</t>
  </si>
  <si>
    <t>Таблиця 10, гр. 8 рядки Т10.1, Т10.2, Т10.3, Т10.4 (без дооцінки)</t>
  </si>
  <si>
    <t>Таблиця 10, сума гр. 23 рядки Т10.1, Т10.2, Т10.3, Т10.4 (без дооцінки) мінус гр.17 р. Т 10.3.2.</t>
  </si>
  <si>
    <t>https://zakon.rada.gov.ua/rada/show/z0114-04#Text</t>
  </si>
  <si>
    <t xml:space="preserve">при заповненні даних таблиці 8  керуватися Інструкцією зі статистики кількості працівників, затвердженої наказом Держкомстату від 28.09.2005 №286 </t>
  </si>
  <si>
    <t xml:space="preserve">при заповненні даних таблиці 7  керуватися Інструкцією зі статистики заробітної плати, затвердженої наказом Держкомстату від 30.01.2004 №5 </t>
  </si>
  <si>
    <t>Таблиця 7. Фонд оплати праці штатних працівників</t>
  </si>
  <si>
    <t>Фонд оплати праці штатних працівників, всього</t>
  </si>
  <si>
    <t>фонд основної заробітної плати</t>
  </si>
  <si>
    <t>фонд додаткової заробітної плати</t>
  </si>
  <si>
    <t>інші заохочувальні та компенсаційні виплати</t>
  </si>
  <si>
    <t>ЗВІТ ПРО ДОХОДИ ТА ВИТРАТИ за 1 півріччя  2021 року</t>
  </si>
  <si>
    <t>ВОП розрахунково
ВОП на місяць + ВОП на місяць/12*6</t>
  </si>
  <si>
    <t>Таблиця 5.1. Витрати на оплату праці на місяць (ВОП)</t>
  </si>
  <si>
    <t>Фонд оплати праці штатних працівників</t>
  </si>
  <si>
    <t>відповідний період минулого року</t>
  </si>
  <si>
    <t>звітний період</t>
  </si>
  <si>
    <t xml:space="preserve">Відображаються нарахування працівникам підприємства  у відповідності  до  розрахунково-платіжних документів незалежно від терміну їхніх  фактичних  виплат.  Зазначені  суми  наводяться  до утримання   прибуткового   податку   та   внесків  працівників  на обов'язкове державне соціальне страхування. </t>
  </si>
  <si>
    <t>Використання запасів у середньому у місяць (6 міс)</t>
  </si>
  <si>
    <r>
      <t xml:space="preserve">Середньомісячна заробітна плата одного штатного працівника в місяць, грн.
</t>
    </r>
    <r>
      <rPr>
        <b/>
        <i/>
        <sz val="16"/>
        <color indexed="10"/>
        <rFont val="Times New Roman"/>
        <family val="1"/>
        <charset val="204"/>
      </rPr>
      <t xml:space="preserve">Увага! </t>
    </r>
  </si>
  <si>
    <r>
      <t xml:space="preserve">Середньомісячна заробітна плата одного штатного працівника в еквіваленті повної зайнятості (з розрахунку 40-годинного робочого тижня) в місяць, грн.
</t>
    </r>
    <r>
      <rPr>
        <b/>
        <i/>
        <sz val="16"/>
        <color indexed="10"/>
        <rFont val="Times New Roman"/>
        <family val="1"/>
        <charset val="204"/>
      </rPr>
      <t xml:space="preserve">Увага! </t>
    </r>
  </si>
  <si>
    <t xml:space="preserve">3. Інші виплати, що не належать до фонду оплати праці </t>
  </si>
  <si>
    <t xml:space="preserve">     3.1. Внески  підприємств  на   загальнообов'язкове   державне </t>
  </si>
  <si>
    <t xml:space="preserve">соціальне страхування. </t>
  </si>
  <si>
    <t xml:space="preserve">     3.2. Допомоги  та  інші  виплати,  що здійснюються за рахунок </t>
  </si>
  <si>
    <t>коштів фондів державного соціального страхування:</t>
  </si>
  <si>
    <t xml:space="preserve">     допомога по тимчасовій непрацездатності;</t>
  </si>
  <si>
    <t xml:space="preserve">     допомога по вагітності та пологах;</t>
  </si>
  <si>
    <t xml:space="preserve">     допомога при народженні дитини;</t>
  </si>
  <si>
    <t xml:space="preserve">     допомога  по  догляду за дитиною до досягнення нею трирічного </t>
  </si>
  <si>
    <t>віку;</t>
  </si>
  <si>
    <t xml:space="preserve">     допомога на поховання;</t>
  </si>
  <si>
    <t xml:space="preserve">     оплата    путівок    на   санаторно-курортне   лікування   та </t>
  </si>
  <si>
    <t>оздоровлення;</t>
  </si>
  <si>
    <t xml:space="preserve">     допомога по частковому безробіттю. </t>
  </si>
  <si>
    <t xml:space="preserve">     3.3. Оплата  перших п'яти днів тимчасової непрацездатності за </t>
  </si>
  <si>
    <t xml:space="preserve">рахунок коштів підприємства, установи, організації. </t>
  </si>
  <si>
    <t xml:space="preserve">     3.4. Соціальні  допомоги  та  виплати   за   рахунок   коштів </t>
  </si>
  <si>
    <t xml:space="preserve">підприємства,  установлені колективним договором (працівникам, які </t>
  </si>
  <si>
    <t xml:space="preserve">перебувають у відпустці для  догляду  за  дитиною,  на  народження </t>
  </si>
  <si>
    <t xml:space="preserve">дитини, сім'ям з неповнолітніми дітьми). </t>
  </si>
  <si>
    <t xml:space="preserve">     3.5. Внески  підприємств  згідно  з  договорами добровільного </t>
  </si>
  <si>
    <t xml:space="preserve">медичного та пенсійного страхування  працівників  і  членів  їхніх </t>
  </si>
  <si>
    <t xml:space="preserve">сімей. </t>
  </si>
  <si>
    <t xml:space="preserve">     3.6. Одноразова допомога працівникам,  які виходять на пенсію </t>
  </si>
  <si>
    <t xml:space="preserve">згідно  з  діючим  законодавством   та   колективними   договорами </t>
  </si>
  <si>
    <t xml:space="preserve">(включаючи  грошову  допомогу  державним  службовцям  та  науковим </t>
  </si>
  <si>
    <t xml:space="preserve">(науково-педагогічним) працівникам). </t>
  </si>
  <si>
    <t xml:space="preserve">     3.7. Надбавки  та  доплати  до  державних  пенсій   працюючим </t>
  </si>
  <si>
    <t xml:space="preserve">пенсіонерам. </t>
  </si>
  <si>
    <t xml:space="preserve">     3.8. Суми   вихідної   допомоги   при   припиненні  трудового </t>
  </si>
  <si>
    <t xml:space="preserve">договору. </t>
  </si>
  <si>
    <t xml:space="preserve">     3.9. Суми,  нараховані працівникам за час затримки розрахунку </t>
  </si>
  <si>
    <t xml:space="preserve">при звільненні. </t>
  </si>
  <si>
    <t xml:space="preserve">     3.10. Витрати  на  платне навчання працівників і членів їхніх </t>
  </si>
  <si>
    <t xml:space="preserve">сімей,  не пов'язане з виробничою необхідністю, згідно з договором </t>
  </si>
  <si>
    <t xml:space="preserve">між підприємством та навчальним закладом. </t>
  </si>
  <si>
    <t xml:space="preserve">     3.11. Видатки підприємств на покриття витрат Пенсійного фонду </t>
  </si>
  <si>
    <t xml:space="preserve">України на виплату та доставку пільгових пенсій. </t>
  </si>
  <si>
    <t xml:space="preserve">     3.12. Виплати в установленому розмірі особам,  які  потерпіли </t>
  </si>
  <si>
    <t xml:space="preserve">від Чорнобильської   катастрофи   (крім   зазначених  у  пп.2.2.1, </t>
  </si>
  <si>
    <t xml:space="preserve">2.2.12). </t>
  </si>
  <si>
    <t xml:space="preserve">     3.13. Компенсація  моральної  шкоди  працівникам  за  рахунок </t>
  </si>
  <si>
    <t xml:space="preserve">коштів підприємства, що виплачується за рішенням суду. </t>
  </si>
  <si>
    <t xml:space="preserve">     3.14. Винагорода,  що  сплачується за авторським договором на </t>
  </si>
  <si>
    <t xml:space="preserve">створення та використання творів науки,  літератури та  мистецтва, </t>
  </si>
  <si>
    <t>крім зазначеної у пп.2.1.3.</t>
  </si>
  <si>
    <t xml:space="preserve">     Винагороди   за  відкриття,  винаходи  та  раціоналізаторські </t>
  </si>
  <si>
    <t xml:space="preserve">пропозиції та їхнє використання. </t>
  </si>
  <si>
    <t xml:space="preserve">     3.15. Витрати  на  відрядження:  добові  (у  повному обсязі), </t>
  </si>
  <si>
    <t>вартість проїзду, витрати на наймання житлового приміщення.</t>
  </si>
  <si>
    <t xml:space="preserve">     Компенсаційні   виплати   та  добові,  які  виплачуються  при </t>
  </si>
  <si>
    <t xml:space="preserve">переїзді   на   роботу   в   іншу   місцевість   згідно  з  чинним </t>
  </si>
  <si>
    <t xml:space="preserve">законодавством. </t>
  </si>
  <si>
    <t xml:space="preserve">     3.16. Надбавки  (польове  забезпечення)  до тарифних ставок і </t>
  </si>
  <si>
    <t xml:space="preserve">посадових   окладів   працівників,   направлених   для   виконання </t>
  </si>
  <si>
    <t xml:space="preserve">монтажних,  налагоджувальних,  ремонтних  і  будівельних робіт,  і </t>
  </si>
  <si>
    <t xml:space="preserve">працівників,  робота яких виконується вахтовим  методом,  постійно </t>
  </si>
  <si>
    <t xml:space="preserve">проводиться  в  дорозі або має роз'їзний (пересувний) характер,  у </t>
  </si>
  <si>
    <t xml:space="preserve">розмірах, визначених чинним законодавством. </t>
  </si>
  <si>
    <t xml:space="preserve">     3.17. Витрати на колективне харчування плавскладу  річкового, </t>
  </si>
  <si>
    <t xml:space="preserve">морського та рибопромислового флотів,  а також харчування льотного </t>
  </si>
  <si>
    <t xml:space="preserve">складу цивільної авіації при виконанні завдань польоту, які можуть </t>
  </si>
  <si>
    <t xml:space="preserve">бути  прирівняні  до  добових  витрат,  що  виплачуються  в період </t>
  </si>
  <si>
    <t xml:space="preserve">відрядження. </t>
  </si>
  <si>
    <t xml:space="preserve">     3.18. Витрати на харчування учасників спортивних  заходів,  у </t>
  </si>
  <si>
    <t xml:space="preserve">тому  числі суддів,  на час перебування на спортивних змаганнях та </t>
  </si>
  <si>
    <t xml:space="preserve">навчально-тренувальних зборах у межах установлених норм. </t>
  </si>
  <si>
    <t xml:space="preserve">     3.19. Вартість виданого згідно з діючими  нормами  спецодягу, </t>
  </si>
  <si>
    <t xml:space="preserve">спецвзуття  та  інших  засобів індивідуального захисту,  мийних та </t>
  </si>
  <si>
    <t xml:space="preserve">знешкоджувальних  засобів,  молока  та  лікувально-профілактичного </t>
  </si>
  <si>
    <t xml:space="preserve">харчування  або відшкодування витрат працівникам за придбання ними </t>
  </si>
  <si>
    <t xml:space="preserve">спецодягу та інших засобів індивідуального захисту в разі невидачі </t>
  </si>
  <si>
    <t xml:space="preserve">їх адміністрацією. </t>
  </si>
  <si>
    <t xml:space="preserve">     3.20. Вартість придбаних підприємством проїзних квитків,  які </t>
  </si>
  <si>
    <t xml:space="preserve">персонально не розподіляються між працівниками,  а видаються їм  у </t>
  </si>
  <si>
    <t xml:space="preserve">міру  потреби  для  виконання  виробничих  завдань  (у  зв'язку зі </t>
  </si>
  <si>
    <t xml:space="preserve">специфікою роботи). </t>
  </si>
  <si>
    <t xml:space="preserve">     3.21. Витрати на перевезення працівників до місця  роботи  як </t>
  </si>
  <si>
    <t xml:space="preserve">власним, так і орендованим транспортом (крім оплати праці водіїв). </t>
  </si>
  <si>
    <t xml:space="preserve">     3.22. Компенсації  працівникам  за  використання  для  потреб </t>
  </si>
  <si>
    <t xml:space="preserve">виробництва власного інструменту та особистого транспорту. </t>
  </si>
  <si>
    <t xml:space="preserve">     3.23. Вартість подарунків до  свят  і  квитків  на  видовищні </t>
  </si>
  <si>
    <t xml:space="preserve">заходи для дітей працівників. </t>
  </si>
  <si>
    <t xml:space="preserve">     3.24. Витрати  на  підготовку  та перепідготовку кадрів (крім </t>
  </si>
  <si>
    <t>витрат на заробітну плату, зазначених у пп.2.2.12):</t>
  </si>
  <si>
    <t xml:space="preserve">     витрати  на  оплату  навчання  працівників у вищих навчальних </t>
  </si>
  <si>
    <t xml:space="preserve">закладах   та   установах   підвищення  кваліфікації,  професійної </t>
  </si>
  <si>
    <t>підготовки та перепідготовки кадрів;</t>
  </si>
  <si>
    <t xml:space="preserve">     стипендії    слухачам   підготовчих   відділень,   студентам, </t>
  </si>
  <si>
    <t xml:space="preserve">аспірантам,  направленим підприємствами на навчання з відривом від </t>
  </si>
  <si>
    <t>виробництва у вищі навчальні заклади;</t>
  </si>
  <si>
    <t xml:space="preserve">     оплата  проїзду  до  місцезнаходження  навчального закладу та </t>
  </si>
  <si>
    <t>назад;</t>
  </si>
  <si>
    <t xml:space="preserve">     витрати,   пов'язані   з   організацією  навчального  процесу </t>
  </si>
  <si>
    <t xml:space="preserve">(придбання учбового матеріалу, оренда приміщень). </t>
  </si>
  <si>
    <t xml:space="preserve">     3.25. Стипендії,   що   призначаються   згідно    з    діючим </t>
  </si>
  <si>
    <t xml:space="preserve">законодавством,   видатним   діячам  науки,  освіти  та  культури, </t>
  </si>
  <si>
    <t xml:space="preserve">фізичної культури та спорту,  інформаційної галузі, олімпійським і </t>
  </si>
  <si>
    <t xml:space="preserve">параолімпійським  чемпіонам,  видатним  спортсменам  і  тренерам з </t>
  </si>
  <si>
    <t xml:space="preserve">олімпійських   видів   спорту,   талановитим    і    перспективним </t>
  </si>
  <si>
    <t xml:space="preserve">спортсменам, молодим ученим, та інші державні стипендії. </t>
  </si>
  <si>
    <t xml:space="preserve">     3.26. Довічна    плата    за   звання   дійсного   члена   та </t>
  </si>
  <si>
    <t xml:space="preserve">члена-кореспондента академії наук. </t>
  </si>
  <si>
    <t xml:space="preserve">     3.27. Витрати на проведення культурно-освітніх  і  оздоровчих </t>
  </si>
  <si>
    <t xml:space="preserve">заходів   та   утримання  громадських  служб  (крім  оплати  праці </t>
  </si>
  <si>
    <t>працівників, які їх обслуговують).</t>
  </si>
  <si>
    <t xml:space="preserve">     Витрати  на  благоустрій  садівничих  товариств  (будівництво </t>
  </si>
  <si>
    <t xml:space="preserve">шляхів, енерго-   та  водопостачання,  осушення  та  інші  витрати </t>
  </si>
  <si>
    <t xml:space="preserve">загального характеру), будівництво гаражів для працівників. </t>
  </si>
  <si>
    <t xml:space="preserve">     3.28. Позики,  видані  працівникам підприємств для поліпшення </t>
  </si>
  <si>
    <t xml:space="preserve">житлових умов,  на індивідуальне будівництво, заведення домашнього </t>
  </si>
  <si>
    <t xml:space="preserve">господарства. </t>
  </si>
  <si>
    <t xml:space="preserve">     3.29. Вартість житла, переданого у власність працівникам. </t>
  </si>
  <si>
    <t xml:space="preserve">     3.30. Витрати   підприємств  на  оплату  послуг  з  лікування </t>
  </si>
  <si>
    <t xml:space="preserve">працівників,  які були надані установами  охорони  здоров'я  (крім </t>
  </si>
  <si>
    <t xml:space="preserve">виплат, зазначених у пп.2.3.3). </t>
  </si>
  <si>
    <t xml:space="preserve">     3.31. Матеріальна  допомога разового характеру,  що надається </t>
  </si>
  <si>
    <t xml:space="preserve">підприємством  окремим  працівникам   у   зв'язку   із   сімейними </t>
  </si>
  <si>
    <t xml:space="preserve">обставинами, на оплату лікування, оздоровлення дітей, поховання. </t>
  </si>
  <si>
    <t xml:space="preserve">     3.32. Суми  матеріальної  та благодійної допомоги,  виплачені </t>
  </si>
  <si>
    <t xml:space="preserve">особам, які не перебувають у трудових відносинах з підприємством. </t>
  </si>
  <si>
    <t xml:space="preserve">     3.33. Суми  матеріальної  допомоги  як  у  грошовій,  так   і </t>
  </si>
  <si>
    <t xml:space="preserve">натуральній  формі  незалежно  від  її  розміру,  що  надається на </t>
  </si>
  <si>
    <t xml:space="preserve">підставі  рішень  Уряду  України  у  зв'язку   зі   стихійним   та </t>
  </si>
  <si>
    <t xml:space="preserve">екологічним  лихом,  аваріями  та  катастрофами місцевими органами </t>
  </si>
  <si>
    <t xml:space="preserve">державної виконавчої влади,  профспілками, благодійними фондами та </t>
  </si>
  <si>
    <t xml:space="preserve">іноземними державами. </t>
  </si>
  <si>
    <t xml:space="preserve">     3.34. Грошове  забезпечення  військовослужбовців Збройних Сил </t>
  </si>
  <si>
    <t xml:space="preserve">України,  Державної прикордонної служби  України,  Служби  безпеки </t>
  </si>
  <si>
    <t xml:space="preserve">України,  Управління  державної  охорони України,  інших утворених </t>
  </si>
  <si>
    <t xml:space="preserve">відповідно  до  законів   України   військових   формувань,   осіб </t>
  </si>
  <si>
    <t xml:space="preserve">начальницького   і   рядового  складу  органів  внутрішніх  справ, </t>
  </si>
  <si>
    <t xml:space="preserve">кримінально-виконавчої  системи,   податкової   міліції   України, </t>
  </si>
  <si>
    <t xml:space="preserve">державної   пожежної   охорони   Міністерства   України  з  питань </t>
  </si>
  <si>
    <t xml:space="preserve">надзвичайних ситуацій та у справах захисту населення від наслідків </t>
  </si>
  <si>
    <t xml:space="preserve">Чорнобильської катастрофи. </t>
  </si>
  <si>
    <t xml:space="preserve">     3.35. Доходи за акціями та інші доходи від участі працівників </t>
  </si>
  <si>
    <t xml:space="preserve">у власності підприємства (дивіденди,  відсотки, виплати за паями), </t>
  </si>
  <si>
    <t xml:space="preserve">а  також  доходи  від  здавання в оренду землі.  Зазначені виплати </t>
  </si>
  <si>
    <t xml:space="preserve">відображаються  у  формах  державних   статистичних   спостережень </t>
  </si>
  <si>
    <t xml:space="preserve">окремо. </t>
  </si>
  <si>
    <t>2.3. Інші заохочувальні та компенсаційні виплати</t>
  </si>
  <si>
    <t xml:space="preserve">     Інші   заохочувальні   та   компенсаційні  виплати  включають </t>
  </si>
  <si>
    <t xml:space="preserve">винагороди    та   премії,   які   мають   одноразовий   характер, </t>
  </si>
  <si>
    <t xml:space="preserve">компенсаційні  та  інші  грошові  й  матеріальні  виплати,  які не </t>
  </si>
  <si>
    <t xml:space="preserve">передбачені актами чинного законодавства або які провадяться понад </t>
  </si>
  <si>
    <t>встановлені зазначеними актами норми. До них належать:</t>
  </si>
  <si>
    <t xml:space="preserve">     2.3.1.  Нарахування  за  невідпрацьований час, не передбачені </t>
  </si>
  <si>
    <t xml:space="preserve">чинним законодавством, зокрема працівникам, які вимушено працювали </t>
  </si>
  <si>
    <t xml:space="preserve">скорочений  робочий  час  та  перебували у відпустках з ініціативи </t>
  </si>
  <si>
    <t xml:space="preserve">адміністрації  (крім  допомоги  по  частковому  безробіттю), брали </t>
  </si>
  <si>
    <t>участь у страйках.</t>
  </si>
  <si>
    <t xml:space="preserve">     2.3.2.  Винагороди  та заохочення, що здійснюються раз на рік </t>
  </si>
  <si>
    <t>або мають одноразовий характер. Зокрема:</t>
  </si>
  <si>
    <t xml:space="preserve">     винагороди за підсумками роботи за рік, щорічні винагороди за </t>
  </si>
  <si>
    <t>вислугу років (стаж роботи);</t>
  </si>
  <si>
    <t xml:space="preserve">     премії,   що   виплачуються   у   встановленому   порядку  за </t>
  </si>
  <si>
    <t xml:space="preserve">спеціальними системами преміювання, виплачені відповідно до рішень </t>
  </si>
  <si>
    <t>уряду;</t>
  </si>
  <si>
    <t xml:space="preserve">     премії   за   сприяння   винахідництву   та   раціоналізації, </t>
  </si>
  <si>
    <t xml:space="preserve">створення,  освоєння  та  впровадження нової техніки і технології, </t>
  </si>
  <si>
    <t xml:space="preserve">уведення  в  дію  в  строк  і  достроково виробничих потужностей й </t>
  </si>
  <si>
    <t xml:space="preserve">об'єктів  будівництва,  своєчасну поставку продукції на експорт та </t>
  </si>
  <si>
    <t>інші;</t>
  </si>
  <si>
    <t xml:space="preserve">     премії за виконання важливих та особливо важливих завдань;</t>
  </si>
  <si>
    <t xml:space="preserve">     одноразові    заохочення,    не   пов'язані   з   конкретними </t>
  </si>
  <si>
    <t xml:space="preserve">результатами праці (наприклад, до ювілейних та пам'ятних дат, як у </t>
  </si>
  <si>
    <t>грошовій, так і натуральній формі);</t>
  </si>
  <si>
    <t xml:space="preserve">     грошова   винагорода   державним   службовцям   за   сумлінну </t>
  </si>
  <si>
    <t xml:space="preserve">безперервну  працю  в  органах державної влади, зразкове виконання </t>
  </si>
  <si>
    <t>трудових обов'язків;</t>
  </si>
  <si>
    <t xml:space="preserve">     вартість безкоштовно наданих працівникам акцій;</t>
  </si>
  <si>
    <t xml:space="preserve">     кошти,  спрямовані  на  викуп майна працівниками з моменту їх </t>
  </si>
  <si>
    <t xml:space="preserve">персоніфікації,  а  також  суми вартості майна, яке розподіляється </t>
  </si>
  <si>
    <t xml:space="preserve">між   членами   колективу   в   разі   ліквідації  (реорганізації, </t>
  </si>
  <si>
    <t xml:space="preserve">перепрофілювання)  підприємства (крім випадків розподілу майна між </t>
  </si>
  <si>
    <t>засновниками підприємства).</t>
  </si>
  <si>
    <t xml:space="preserve">     2.3.3.  Матеріальна  допомога, що має систематичний характер, </t>
  </si>
  <si>
    <t xml:space="preserve">надана  всім або більшості працівників (на оздоровлення, у зв'язку </t>
  </si>
  <si>
    <t>з екологічним станом, крім сум, указаних у п.3.31).</t>
  </si>
  <si>
    <t xml:space="preserve">     2.3.4. Виплати соціального характеру у грошовій і натуральній </t>
  </si>
  <si>
    <t>формі:</t>
  </si>
  <si>
    <t xml:space="preserve">     витрати   в   розмірі  страхових  внесків  підприємств  (крім </t>
  </si>
  <si>
    <t xml:space="preserve">випадків, зазначених у п.3.5) на користь працівників, пов'язаних з </t>
  </si>
  <si>
    <t xml:space="preserve">добровільним страхуванням (особистим, страхуванням майна). Указані </t>
  </si>
  <si>
    <t xml:space="preserve">суми  включаються  до  фонду  оплати  праці  в  тому місяці,  коли </t>
  </si>
  <si>
    <t>провадяться перерахунки страховій компанії;</t>
  </si>
  <si>
    <t xml:space="preserve">     оплата  або дотації на харчування працівників, у тому числі в </t>
  </si>
  <si>
    <t>їдальнях, буфетах, профілакторіях;</t>
  </si>
  <si>
    <t xml:space="preserve">     оплата за утримання дітей працівників у дошкільних закладах;</t>
  </si>
  <si>
    <t xml:space="preserve">     вартість   путівок  працівникам  та  членам  їхніх  сімей  на </t>
  </si>
  <si>
    <t xml:space="preserve">лікування  та  відпочинок,  екскурсії або суми компенсацій, видані </t>
  </si>
  <si>
    <t xml:space="preserve">замість  путівок  за  рахунок  коштів підприємства (крім випадків, </t>
  </si>
  <si>
    <t>указаних у п.3.2);</t>
  </si>
  <si>
    <t xml:space="preserve">     вартість проїзних квитків, які персонально розподіляються між </t>
  </si>
  <si>
    <t xml:space="preserve">працівниками,   та   відшкодування  працівникам  вартості  проїзду </t>
  </si>
  <si>
    <t>транспортом загального користування;</t>
  </si>
  <si>
    <t xml:space="preserve">     інші   виплати,  що  мають  індивідуальний  характер  (оплата </t>
  </si>
  <si>
    <t xml:space="preserve">квартири  та  найманого  житла,  гуртожитків, товарів, продуктових </t>
  </si>
  <si>
    <t xml:space="preserve">замовлень,  абонементів  у групи здоров'я, передплати на газети та </t>
  </si>
  <si>
    <t xml:space="preserve">журнали,   протезування,   суми   компенсації   вартості  виданого </t>
  </si>
  <si>
    <t xml:space="preserve">працівникам    палива   у   випадках,   не   передбачених   чинним </t>
  </si>
  <si>
    <t xml:space="preserve">законодавством). </t>
  </si>
  <si>
    <t xml:space="preserve"> 2.2. Фонд додаткової заробітної плати</t>
  </si>
  <si>
    <t xml:space="preserve">     Фонд додаткової  заробітної плати включає доплати,  надбавки, </t>
  </si>
  <si>
    <t xml:space="preserve">гарантійні   і   компенсаційні   виплати,    передбачені    чинним </t>
  </si>
  <si>
    <t xml:space="preserve">законодавством,  премії, пов'язані з виконанням виробничих завдань </t>
  </si>
  <si>
    <t>і функцій. До складу фонду додаткової заробітної плати входять:</t>
  </si>
  <si>
    <t xml:space="preserve">     2.2.1.  Надбавки  та  доплати  до  тарифних  ставок (окладів, </t>
  </si>
  <si>
    <t xml:space="preserve">посадових окладів) у розмірах, передбачених чинним законодавством, </t>
  </si>
  <si>
    <t>за:</t>
  </si>
  <si>
    <t xml:space="preserve">     суміщення професій (посад);</t>
  </si>
  <si>
    <t xml:space="preserve">     розширення зони обслуговування або збільшення обсягу робіт;</t>
  </si>
  <si>
    <t xml:space="preserve">     виконання обов'язків тимчасово відсутнього працівника;</t>
  </si>
  <si>
    <t xml:space="preserve">     роботу  у  важких  і  шкідливих та особливо важких і особливо </t>
  </si>
  <si>
    <t>шкідливих умовах праці;</t>
  </si>
  <si>
    <t xml:space="preserve">     інтенсивність праці;</t>
  </si>
  <si>
    <t xml:space="preserve">     роботу в нічний час;</t>
  </si>
  <si>
    <t xml:space="preserve">     керівництво бригадою;</t>
  </si>
  <si>
    <t xml:space="preserve">     високу професійну майстерність;</t>
  </si>
  <si>
    <t xml:space="preserve">     класність водіям (машиністам) транспортних засобів;</t>
  </si>
  <si>
    <t xml:space="preserve">     високі досягнення в праці, у тому числі державним службовцям;</t>
  </si>
  <si>
    <t xml:space="preserve">     виконання особливо важливої роботи на певний термін;</t>
  </si>
  <si>
    <t xml:space="preserve">     знання та використання в роботі іноземної мови;</t>
  </si>
  <si>
    <t xml:space="preserve">     допуск до державної таємниці;</t>
  </si>
  <si>
    <t xml:space="preserve">     дипломатичні  ранги, персональні звання службових осіб, ранги </t>
  </si>
  <si>
    <t>державних службовців, кваліфікаційні класи суддів;</t>
  </si>
  <si>
    <t xml:space="preserve">     науковий ступінь;</t>
  </si>
  <si>
    <t xml:space="preserve">     нормативний  час  пересування у шахті (руднику) від ствола до </t>
  </si>
  <si>
    <t xml:space="preserve">місця  роботи  і назад працівникам, постійно зайнятим на підземних </t>
  </si>
  <si>
    <t>роботах;</t>
  </si>
  <si>
    <t xml:space="preserve">     роботу на територіях радіоактивного забруднення;</t>
  </si>
  <si>
    <t xml:space="preserve">     інші  надбавки та доплати, передбачені чинним законодавством, </t>
  </si>
  <si>
    <t>включаючи доплату до розміру мінімальної заробітної плати.</t>
  </si>
  <si>
    <t xml:space="preserve">     2.2.2.  Премії  та винагороди, у тому числі за вислугу років, </t>
  </si>
  <si>
    <t xml:space="preserve">що мають систематичний характер, незалежно від джерел фінансування </t>
  </si>
  <si>
    <t>(крім сум, указаних у пп.2.3.2).</t>
  </si>
  <si>
    <t xml:space="preserve">     2.2.3.   Відсоткові   або   комісійні  винагороди,  виплачені </t>
  </si>
  <si>
    <t>додатково до тарифної ставки (окладу, посадового окладу).</t>
  </si>
  <si>
    <t xml:space="preserve">     2.2.4.  Оплата  роботи  в  надурочний  час  і  у  святкові та </t>
  </si>
  <si>
    <t xml:space="preserve">неробочі  дні  у  розмірах  та за розцінками, установленими чинним </t>
  </si>
  <si>
    <t>законодавством.</t>
  </si>
  <si>
    <t xml:space="preserve">     2.2.5.  Оплата працівникам днів відпочинку, що надаються їм у </t>
  </si>
  <si>
    <t xml:space="preserve">зв'язку  з  роботою  понад  нормальну тривалість робочого часу при </t>
  </si>
  <si>
    <t xml:space="preserve">вахтовому  методі  організації  праці,  при  підсумованому  обліку </t>
  </si>
  <si>
    <t>робочого часу і в інших випадках, передбачених законодавством.</t>
  </si>
  <si>
    <t xml:space="preserve">     2.2.6. Суми, виплачені (при виконанні робіт вахтовим методом) </t>
  </si>
  <si>
    <t xml:space="preserve">у  розмірі  тарифної  ставки  (окладу,  посадового  окладу) за дні </t>
  </si>
  <si>
    <t xml:space="preserve">перебування  в  дорозі  до  місцезнаходження  підприємства (пункту </t>
  </si>
  <si>
    <t xml:space="preserve">збору)  -  місця  роботи  і  назад, передбачені графіком роботи на </t>
  </si>
  <si>
    <t xml:space="preserve">вахті,  а  також  за  дні  затримки  працівників  у  дорозі  через </t>
  </si>
  <si>
    <t>метеорологічні умови та з вини транспортних підприємств.</t>
  </si>
  <si>
    <t xml:space="preserve">     2.2.7. Суми виплат, пов'язаних з індексацією заробітної плати </t>
  </si>
  <si>
    <t>працівників.</t>
  </si>
  <si>
    <t xml:space="preserve">     2.2.8. Суми компенсації працівникам втрати частини заробітної </t>
  </si>
  <si>
    <t>плати у зв'язку з порушенням термінів її виплати.</t>
  </si>
  <si>
    <t xml:space="preserve">     2.2.9.   Вартість   безоплатно   наданих  окремим  категоріям </t>
  </si>
  <si>
    <t xml:space="preserve">працівників    відповідно   до   законодавства   житла,   вугілля, </t>
  </si>
  <si>
    <t xml:space="preserve">комунальних послуг, послуг зв'язку та суми коштів на відшкодування </t>
  </si>
  <si>
    <t>їхньої оплати.</t>
  </si>
  <si>
    <t xml:space="preserve">     2.2.10.  Витрати,  пов'язані з наданням безкоштовного проїзду </t>
  </si>
  <si>
    <t xml:space="preserve">працівникам   залізничного,   авіаційного,  морського,  річкового, </t>
  </si>
  <si>
    <t>автомобільного транспорту та міського електротранспорту.</t>
  </si>
  <si>
    <t xml:space="preserve">     2.2.11.  Вартість  безкоштовно наданого працівникам форменого </t>
  </si>
  <si>
    <t xml:space="preserve">одягу,  обмундирування,  що  може  використовуватися  поза робочим </t>
  </si>
  <si>
    <t xml:space="preserve">місцем  та  залишається  в особистому постійному користуванні, або </t>
  </si>
  <si>
    <t>сума знижки у разі продажу форменого одягу за зниженими цінами.</t>
  </si>
  <si>
    <t xml:space="preserve">     2.2.12. Оплата за невідпрацьований час:</t>
  </si>
  <si>
    <t xml:space="preserve">     оплата,   а   також   суми   грошових   компенсацій   у  разі </t>
  </si>
  <si>
    <t xml:space="preserve">невикористання  щорічних  (основної  та  додаткових)  відпусток та </t>
  </si>
  <si>
    <t xml:space="preserve">додаткових  відпусток  працівникам,  які  мають дітей, у розмірах, </t>
  </si>
  <si>
    <t>передбачених законодавством;</t>
  </si>
  <si>
    <t xml:space="preserve">     оплата  додаткових  відпусток  (понад тривалість, передбачену </t>
  </si>
  <si>
    <t>законодавством), наданих відповідно до колективного договору;</t>
  </si>
  <si>
    <t xml:space="preserve">     оплата  додаткових відпусток у зв'язку з навчанням та творчих </t>
  </si>
  <si>
    <t>відпусток;</t>
  </si>
  <si>
    <t xml:space="preserve">     оплата  додаткових  відпусток,  що  надаються  відповідно  до </t>
  </si>
  <si>
    <t xml:space="preserve">Закону  України  "Про  статус  і  соціальний  захист громадян, які </t>
  </si>
  <si>
    <t>постраждали внаслідок Чорнобильської катастрофи" ( 796-12 );</t>
  </si>
  <si>
    <t xml:space="preserve">     суми  заробітної  плати,  що  зберігаються за основним місцем </t>
  </si>
  <si>
    <t xml:space="preserve">роботи  працівників,  за  час  їхнього  навчання  з  відривом  від </t>
  </si>
  <si>
    <t xml:space="preserve">виробництва  в  системі  підвищення кваліфікації та перепідготовки </t>
  </si>
  <si>
    <t>кадрів;</t>
  </si>
  <si>
    <t xml:space="preserve">     суми,  нараховані особам, які проходять навчання (підготовку) </t>
  </si>
  <si>
    <t xml:space="preserve">для  роботи  на  щойно  введених  у  дію  підприємствах за рахунок </t>
  </si>
  <si>
    <t>коштів, передбачених у загальних кошторисах будівництва;</t>
  </si>
  <si>
    <t xml:space="preserve">     оплата  спеціальної перерви в роботі у випадках, передбачених </t>
  </si>
  <si>
    <t>законодавством, оплата пільгового часу неповнолітнім;</t>
  </si>
  <si>
    <t xml:space="preserve">     оплата  працівникам,  які  залучаються до виконання державних </t>
  </si>
  <si>
    <t>або громадських обов'язків, якщо вони виконуються в робочий час;</t>
  </si>
  <si>
    <t xml:space="preserve">     оплата працівникам-донорам днів обстеження, здавання крові та </t>
  </si>
  <si>
    <t xml:space="preserve">відпочинку,  що  надаються  після  кожного дня здавання крові, або </t>
  </si>
  <si>
    <t>днів, приєднаних за бажанням працівника до щорічної відпустки;</t>
  </si>
  <si>
    <t xml:space="preserve">     оплата,   що   зберігається  за  працівником,  який  підлягає </t>
  </si>
  <si>
    <t xml:space="preserve">медичному  огляду,  за основним місцем роботи за час перебування в </t>
  </si>
  <si>
    <t>медичному закладі на обстеженні;</t>
  </si>
  <si>
    <t xml:space="preserve">     оплата простоїв не з вини працівника. </t>
  </si>
  <si>
    <t>2.1. Фонд основної заробітної плати</t>
  </si>
  <si>
    <t xml:space="preserve">     Фонд основної заробітної плати включає нарахування винагороди </t>
  </si>
  <si>
    <t xml:space="preserve">за виконану роботу відповідно до встановлених  норм  праці  (норми </t>
  </si>
  <si>
    <t xml:space="preserve">часу,  виробітку,  обслуговування,  посадових обов'язків). До його </t>
  </si>
  <si>
    <t>складу належать:</t>
  </si>
  <si>
    <t xml:space="preserve">     2.1.1. Винагороди    за   виконану   роботу   відповідно   до </t>
  </si>
  <si>
    <t xml:space="preserve">встановлених  норм  праці  за   тарифними   ставками   (окладами), </t>
  </si>
  <si>
    <t xml:space="preserve">відрядними    розцінками   робітників   та   посадовими   окладами </t>
  </si>
  <si>
    <t xml:space="preserve">керівників,  фахівців,  технічних службовців,  включаючи в повному </t>
  </si>
  <si>
    <t>обсязі внутрішнє сумісництво.</t>
  </si>
  <si>
    <t xml:space="preserve">     2.1.2. Суми відсоткових або комісійних нарахувань залежно від </t>
  </si>
  <si>
    <t xml:space="preserve">обсягу  доходів  (виручки),  отриманих  від  реалізації  продукції </t>
  </si>
  <si>
    <t>(робіт, послуг), у разі, якщо вони є основною заробітною платою.</t>
  </si>
  <si>
    <t xml:space="preserve">     2.1.3. Гонорар штатним працівникам редакцій газет,  журналів, </t>
  </si>
  <si>
    <t xml:space="preserve">інших засобів масової інформації,  видавництв, установ мистецтва й </t>
  </si>
  <si>
    <t xml:space="preserve">(або)  оплата їх праці,  що нараховується за ставками (розцінками) </t>
  </si>
  <si>
    <t xml:space="preserve">авторської  (постановочної)  винагороди,  нарахованої  на   даному </t>
  </si>
  <si>
    <t>підприємстві.</t>
  </si>
  <si>
    <t xml:space="preserve">     2.1.4. Оплата при переведенні працівника  на  нижчеоплачувану </t>
  </si>
  <si>
    <t xml:space="preserve">роботу у випадках і розмірах,  передбачених чинним законодавством, </t>
  </si>
  <si>
    <t xml:space="preserve">а також при невиконанні норм виробітку та виготовленні  продукції, </t>
  </si>
  <si>
    <t>що виявилася браком, не з вини працівника.</t>
  </si>
  <si>
    <t xml:space="preserve">     2.1.5. Оплата   роботи   висококваліфікованих    працівників, </t>
  </si>
  <si>
    <t xml:space="preserve">залучених    для    підготовки,   перепідготовки   та   підвищення </t>
  </si>
  <si>
    <t>кваліфікації працівників.</t>
  </si>
  <si>
    <t xml:space="preserve">     2.1.6. Оплата  праці  за  час  перебування  у відрядженні (не </t>
  </si>
  <si>
    <t xml:space="preserve">включає відшкодування витрат у зв'язку  з  відрядженням:  добових, </t>
  </si>
  <si>
    <t>вартості проїзду, витрат на наймання житлового приміщення).</t>
  </si>
  <si>
    <t xml:space="preserve">     2.1.7. Вартість   продукції,    виданої    працівникам    при </t>
  </si>
  <si>
    <t>натуральній формі оплати праці.</t>
  </si>
  <si>
    <t xml:space="preserve">     У разі виплати заробітної плати натурою відповідно до  статті </t>
  </si>
  <si>
    <t xml:space="preserve">23 Закону ( 108/95-ВР ) для відображення у звітах видана продукція </t>
  </si>
  <si>
    <t xml:space="preserve">оцінюється за  цінами  не  вище  собівартості  в  розмірі,  що  не </t>
  </si>
  <si>
    <t>перевищує 50 відсотків нарахованої заробітної плати за місяць.</t>
  </si>
  <si>
    <t xml:space="preserve">     У формах державних статистичних спостережень,  крім показника </t>
  </si>
  <si>
    <t xml:space="preserve">оплати  праці,  у  натуральній  формі  міститься показник проданої </t>
  </si>
  <si>
    <t xml:space="preserve">продукції в рахунок заробітної плати.  Він  заповнюється  у  разі, </t>
  </si>
  <si>
    <t xml:space="preserve">якщо   в   рахунок   грошової   оплати   працівникам  підприємства </t>
  </si>
  <si>
    <t xml:space="preserve">застосовують продаж  продукції  як  власного  виробництва,  так  і </t>
  </si>
  <si>
    <t xml:space="preserve">отриманої  за  бартером  або  безготівкові  розрахунки за послуги, </t>
  </si>
  <si>
    <t xml:space="preserve">надані працівникам (комунальні  та  інші).  При  цьому  заповнення </t>
  </si>
  <si>
    <t>показника фонду оплати праці здійснюється згідно з нарахуваннями.</t>
  </si>
  <si>
    <t xml:space="preserve">     2.1.8.  Оплата праці (включаючи гонорари) працівників, які не </t>
  </si>
  <si>
    <t xml:space="preserve">перебувають   у   штаті  підприємства  (за  умови,  що  розрахунки </t>
  </si>
  <si>
    <t xml:space="preserve">проводяться   підприємством   безпосередньо  з  працівниками),  за </t>
  </si>
  <si>
    <t>виконання робіт:</t>
  </si>
  <si>
    <t xml:space="preserve">     згідно  з  договорами цивільно-правового характеру, включаючи </t>
  </si>
  <si>
    <t xml:space="preserve">договір   підряду   (за   винятком   фізичних   осіб  -  суб'єктів </t>
  </si>
  <si>
    <t>підприємницької діяльності);</t>
  </si>
  <si>
    <t xml:space="preserve">     згідно  з обов'язками особам, які є членами спостережної ради </t>
  </si>
  <si>
    <t>або ревізійної комісії акціонерного товариства;</t>
  </si>
  <si>
    <t xml:space="preserve">     згідно  з  договорами  між підприємствами про надання робочої </t>
  </si>
  <si>
    <t xml:space="preserve">сили   (безробітним  за  виконання  громадських  робіт,  учням  та </t>
  </si>
  <si>
    <t xml:space="preserve">студентам,  які  проходять  виробничу  практику на підприємстві чи </t>
  </si>
  <si>
    <t xml:space="preserve">залучені на тимчасову роботу на період канікул). </t>
  </si>
  <si>
    <t xml:space="preserve">п. 2 Інструкції зі статистики заробітної плати, затвердженої наказом Держкомстату від 30.01.2004 №5 </t>
  </si>
  <si>
    <t>від юридичних осіб</t>
  </si>
  <si>
    <t>від фізичних осіб</t>
  </si>
  <si>
    <t>на 1 працівника</t>
  </si>
  <si>
    <t>1 півріччя</t>
  </si>
  <si>
    <t xml:space="preserve">Кількість людино-годин,  за які була нарахована заробітна плата </t>
  </si>
  <si>
    <t>гр.2 у % до гр.1</t>
  </si>
  <si>
    <t>Таблиця 8.1. Середньомісячна заробітна плата одного штатного працівника в місяць</t>
  </si>
  <si>
    <t>Увага! Якщо КНП змінило організаційно-правову форму господарювання або було створене не з початку звітного періоду, то виконавцю звіту необхідно зв’язатися з представником НСЗУ для зміни формули у таблиці 8.1. в частині розрахунку середньомісячної заробітної плати</t>
  </si>
  <si>
    <t>Інші виплати, що не належать до фонду оплати праці (т.ч. ЄСВ)</t>
  </si>
  <si>
    <t xml:space="preserve">р.1.1.1.2. гр.4 таблиці 7 </t>
  </si>
  <si>
    <t>Керівники - якщо є видатки у р.1.1.1.1. гр.4 таблиці 7, то має бути чисельність у р.1 керівники таблиці 8</t>
  </si>
  <si>
    <t>Керівники структурних підрозділів - якщо є видатки у р.1.1.1.2. гр.4 таблиці 7 , то має бути чисельність у р.1 гр. 5 або 6  таблиці 8</t>
  </si>
  <si>
    <t>Фонд оплати праці</t>
  </si>
  <si>
    <t>Середньомісячна заробітна плата, грн.</t>
  </si>
  <si>
    <t>Таблиця 7
Фонд заробітної плати, всього</t>
  </si>
  <si>
    <t>Інші працівники - Якщо є видатки у р.1.1.1.6. гр.4 таблиці 7 (або гр.12), то має бути чисельність у р.1 гр. 10 "Виконують адміністративні та загальногосподарські функції" таблиці 8</t>
  </si>
  <si>
    <t xml:space="preserve">р.1.1.1.6. гр.4 таблиці 7 </t>
  </si>
  <si>
    <t xml:space="preserve">р.1, гр.5+гр.6  керівники структурних підрозділів таблиці 8 </t>
  </si>
  <si>
    <t>р.1, гр.4 керівники таблиці 8</t>
  </si>
  <si>
    <t>р.1, гр.10+11 "Інші працівники" таблиці 7</t>
  </si>
  <si>
    <t xml:space="preserve"> Таблиця 8 гр. 12 таблиці "кількість  людино-годин,  за які була нарахована заробітна плата " </t>
  </si>
  <si>
    <t>співвідношення штатних працівників до загальної кількості має бути не менше 80%</t>
  </si>
  <si>
    <t xml:space="preserve">Витрати на оплату праці у таблиці  5.1 із врахуванням витрат на виготовлення власної продукції мають бути більшими, ніж фонд оплати праці  у таблиці 7 </t>
  </si>
  <si>
    <t>Таблиця 8
Має бути заповнена  гр. 12 таблиці про кількість  людино-годин,  за які була нарахована заробітна плата 
Cпіввідношення штатних працівників до загальної кількості має бути не менше 80%</t>
  </si>
  <si>
    <t>Мають бути відсутні дані у Балансі р. 1035 Довгострокові інші фінансові інвестиції. Тут відображаються фінансові інвестиції на період більше одного року, а також усі інвестиції, які не можуть бути вільно реалізовані в будь-який момент. У цій статті виділяються фінансові інвестиції, які згідно з відповідними національними положеннями (стандартами) бухгалтерського обліку обліковуються методом участі в капіталі</t>
  </si>
  <si>
    <t>1. Надходження ПМГ &gt; 0;  
2.Цільове фінансування за рахунок коштів бюджетів усіх рівнів має бути відображено у таблиці 1 Надходження 
3. Перевірка, обороти бюджету
Баланс СдП 377 +Дт 37 -Баланс СдК 377 = Кт 37</t>
  </si>
  <si>
    <t xml:space="preserve">1. Сума цільових надходжень у натуральній формі  може дорівнювати або бути більше на 20%, ніж сума відповідних оприбуткованих ТМЦ + КАПінвестиції 
2. Сума надходжень благодійної допомоги у натуральній формі може дорівнювати або бути більше на 20%, ніж сума  відповідних оприбуткованих ТМЦ + КАПінвестиції + дохід від безоплатно наданої послуги </t>
  </si>
  <si>
    <t>8 True</t>
  </si>
  <si>
    <t>1125.3</t>
  </si>
  <si>
    <t>1635.3</t>
  </si>
  <si>
    <r>
      <t xml:space="preserve">Фінансовий результат без амортизації, грн.
</t>
    </r>
    <r>
      <rPr>
        <i/>
        <sz val="14"/>
        <color indexed="8"/>
        <rFont val="Times New Roman"/>
        <family val="1"/>
        <charset val="204"/>
      </rPr>
      <t xml:space="preserve">Доходи без доходів від амортизації - витрати (таблиця 5 виробнича собівартість готової продукції та товарів + витрати таблиця 5.1. без амортизації) </t>
    </r>
  </si>
  <si>
    <t>Фінансовий результат без амортизації, %</t>
  </si>
  <si>
    <r>
      <t xml:space="preserve">Покриття витрат без амортизації, грн.
</t>
    </r>
    <r>
      <rPr>
        <i/>
        <sz val="14"/>
        <color indexed="8"/>
        <rFont val="Times New Roman"/>
        <family val="1"/>
        <charset val="204"/>
      </rPr>
      <t>Доходи без доходів від амортизації з авансами ПМГ - витрати (таблиця 5 виробнича собівартість готової продукції та товарів + витрати таблиця 5.1. без амортизації)</t>
    </r>
  </si>
  <si>
    <t>Покриття витрат без амортизації, %</t>
  </si>
  <si>
    <r>
      <t xml:space="preserve">Фінансовий результат, грн.
</t>
    </r>
    <r>
      <rPr>
        <i/>
        <sz val="14"/>
        <color indexed="8"/>
        <rFont val="Times New Roman"/>
        <family val="1"/>
        <charset val="204"/>
      </rPr>
      <t xml:space="preserve">Доходи - витрати (таблиця 5 виробнича собівартість готової продукції та товарів + витрати таблиця 5.1. з амортизацією) </t>
    </r>
  </si>
  <si>
    <t>Фінансовий результат, %</t>
  </si>
  <si>
    <r>
      <t xml:space="preserve">Покриття витрат з амортизацією, грн.
</t>
    </r>
    <r>
      <rPr>
        <i/>
        <sz val="14"/>
        <color indexed="8"/>
        <rFont val="Times New Roman"/>
        <family val="1"/>
        <charset val="204"/>
      </rPr>
      <t xml:space="preserve">Доходи +  аванси ПМГ + коригування прибутку з дооцінки  - витрати (таблиця 5 виробнича собівартість готової продукції та товарів + витрати таблиця 5.1. з амортизацією)) </t>
    </r>
  </si>
  <si>
    <t>Покриття витрат з амортизацією, %</t>
  </si>
  <si>
    <t>мінус Баланс 
36СдП 
 Дебіторська заборгованість за рахунок надання майна в оренду та компенсаціій за комунальні платежі від орендаря</t>
  </si>
  <si>
    <t>плюс  Баланс 
36СдК 
 Дебіторська заборгованість за рахунок надання майна в оренду та компенсаціій за комунальні платежі від орендаря</t>
  </si>
  <si>
    <t>плюс  Баланс 
681СдП 
Поточна кредиторська заборгованість за отриманими авансами за  надання майна в оренду та компенсації за комунальні платежі від орендаря</t>
  </si>
  <si>
    <t>мінус  Баланс 
681СдК 
Поточна кредиторська заборгованість за отриманими авансами за  надання майна в оренду та компенсації за комунальні платежі від орендаря</t>
  </si>
  <si>
    <r>
      <rPr>
        <b/>
        <sz val="14"/>
        <rFont val="Times New Roman"/>
        <family val="1"/>
        <charset val="204"/>
      </rPr>
      <t>Формула для перевірки платних послуг</t>
    </r>
    <r>
      <rPr>
        <sz val="14"/>
        <rFont val="Times New Roman"/>
        <family val="1"/>
        <charset val="204"/>
      </rPr>
      <t xml:space="preserve">
Надходження 311 -681СдК+36СдК-36СдП+681СдП)</t>
    </r>
  </si>
  <si>
    <r>
      <t xml:space="preserve">Інший операційних дохід </t>
    </r>
    <r>
      <rPr>
        <sz val="14"/>
        <rFont val="Times New Roman"/>
        <family val="1"/>
        <charset val="204"/>
      </rPr>
      <t>без урахування доходу  для покриття витрат (збитків) за рахунок бюджету, надходження від нецільової благодійної допомоги, дохід від депозиту банку</t>
    </r>
  </si>
  <si>
    <t xml:space="preserve">1. Дохід за програмою медичних гарантій  &gt; 0
2. Роботи та послуги (таблиця 4) мають бути рівними або більше, ніж дохід за програмою медичних гарантій;
3. Вирахування з доходу має бути не більше, ніж повернення залишку коштів по 33 пакету (33 пакет - комірка заблокована);
4. Валідація іншого неопераційного та операційного доходів
</t>
  </si>
  <si>
    <t xml:space="preserve">1. Дохід від реалізації робіт та послуг,  всього &gt;= дохід від реалізації послуг (з додатка Доходи ПМГ)
2. Якщо є дохід від реалізації готової продукції або товарів, то має бути відповідно виробнича собівартість готової продукції  або товарів
</t>
  </si>
  <si>
    <r>
      <rPr>
        <b/>
        <sz val="14"/>
        <color indexed="56"/>
        <rFont val="Times New Roman"/>
        <family val="1"/>
        <charset val="204"/>
      </rPr>
      <t>Формула для перевірки сум від орендаря</t>
    </r>
    <r>
      <rPr>
        <sz val="14"/>
        <color indexed="56"/>
        <rFont val="Times New Roman"/>
        <family val="1"/>
        <charset val="204"/>
      </rPr>
      <t xml:space="preserve">
Надходження 311 -681СдК+36СдК-36СдП+681СдП)</t>
    </r>
  </si>
  <si>
    <r>
      <t xml:space="preserve">Таблиця 8. Кадри                                                     </t>
    </r>
    <r>
      <rPr>
        <b/>
        <sz val="16"/>
        <color indexed="10"/>
        <rFont val="Times New Roman"/>
        <family val="1"/>
        <charset val="204"/>
      </rPr>
      <t xml:space="preserve"> Увага! чисельність проставляється у цілих числах (п.1.9 наказу Держкомстату №286 від 28.09.2005)</t>
    </r>
  </si>
  <si>
    <t>* без врахування перебуваючих  у відпустці  для  догляду за дитиною до досягнення нею віку, передбаченого чинним законодавством  або колективним договором підприємства</t>
  </si>
  <si>
    <t>Актив - валідація на невідповідності
1. Дані р. 1125 Балансу «Дебіторська заборгованість за продукцію, товари, роботи, послуги» не можуть бути меншими, ніж сума рядків 1125.1, 1125.2., 1125.3;
2. Дані р.  1155 Балансу «Інша поточна дебіторська заборгованість, всього, у  тому числі» не можуть бути меншими, ніж сума  рядків «розрахунки з держaвними цільовими фондами»; «заборгованість бюджету з цільового фінансування (Дт 37 ЗБЦФ Кт 48)»; «заборгованість бюджету  для компенсації витрат (збитків)  (Дт 37 ЗБКВ Кт 719) (п.19 ПСБО 15) (ЗБКВ)»;
3.  Дані р. 1170  Балансу «Витрати майбутніх періодів» співвідносяться з надходженнями;
4. Дані р. 1090  Балансу «Інші необоротні активи" = 0; 
5. Дані р. 1190  Балансу  «Інші оборотні активи" не може містити суттєвих сум;
6. Якщо є заборгованість бюджету з цільового фінансування, то ця сума має бути в р. 1615 "Поточна кредиторська заборгованість за товари, роботи, послуги"</t>
  </si>
  <si>
    <t>у тому числі ПМГ, р.1125.1</t>
  </si>
  <si>
    <t>співвідношення розрахункового прибутку до значення у р.1420 СдП Балансу, %</t>
  </si>
  <si>
    <t>Дані р. 1090  Балансу «Інші необоротні активи" мають дорівнювати 0</t>
  </si>
  <si>
    <t>Дані р. 1635 Балансу "Поточна кредиторська заборгованість за отриманими авансами, всього" не можуть бути меншими, ніж сума за р.1635.1, 1635.2., 1635.3</t>
  </si>
  <si>
    <t>у тому числі аванси за ПМГ, р. 1635.1</t>
  </si>
  <si>
    <t xml:space="preserve">у тому числі:
аванси за медичні та немедичні послуги за кошти фізичних і юридичних осіб, за страховими виплатами, р. 1635.2;
аванси за надання майна в оренду та компенсації за комунальні платежі від орендаря, р. 1635.3.
</t>
  </si>
  <si>
    <t>Валідація обсягу нерозподіленого прибутку 
розрахункова сума прибутку допустима у межах +-2% суми, відображеної у р.1420 Балансу</t>
  </si>
  <si>
    <t>безоплатно отримана цільова послуга</t>
  </si>
  <si>
    <t>цільовий дохід та витрати</t>
  </si>
  <si>
    <t>Якщо р. 4.2.1.1 гр.3 = Цільові витрати в частині послуг гр.15 таблиці 5.1 - то ПРАВДА</t>
  </si>
  <si>
    <t>Якщо р. 4.2.1.1 гр.5 = Цільові витрати в частині послуг  гр.16 таблиці 5.1 - то ПРАВДА</t>
  </si>
  <si>
    <t>№1</t>
  </si>
  <si>
    <t>№1.1</t>
  </si>
  <si>
    <t>№2</t>
  </si>
  <si>
    <t>№3</t>
  </si>
  <si>
    <t>№3А</t>
  </si>
  <si>
    <t>№3Б</t>
  </si>
  <si>
    <t>№4</t>
  </si>
  <si>
    <t>№5</t>
  </si>
  <si>
    <t>№6</t>
  </si>
  <si>
    <t>№7А</t>
  </si>
  <si>
    <t>№7</t>
  </si>
  <si>
    <t>№8</t>
  </si>
  <si>
    <t>№9</t>
  </si>
  <si>
    <t>№10</t>
  </si>
  <si>
    <t>№12</t>
  </si>
  <si>
    <t>№13</t>
  </si>
  <si>
    <t>№14</t>
  </si>
  <si>
    <t>№14а</t>
  </si>
  <si>
    <t>№15</t>
  </si>
  <si>
    <t>№15а</t>
  </si>
  <si>
    <t>№16</t>
  </si>
  <si>
    <t>№17</t>
  </si>
  <si>
    <t>№18</t>
  </si>
  <si>
    <t>№Д32_35</t>
  </si>
  <si>
    <t xml:space="preserve">№32А </t>
  </si>
  <si>
    <t xml:space="preserve">№32Б </t>
  </si>
  <si>
    <t xml:space="preserve">№32 В </t>
  </si>
  <si>
    <t>№32</t>
  </si>
  <si>
    <t>№33</t>
  </si>
  <si>
    <t>№34</t>
  </si>
  <si>
    <t>№35</t>
  </si>
  <si>
    <t>№36</t>
  </si>
  <si>
    <t>№36А</t>
  </si>
  <si>
    <t>№37</t>
  </si>
  <si>
    <t>№37А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</si>
  <si>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</si>
  <si>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</si>
  <si>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</si>
  <si>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</si>
  <si>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</si>
  <si>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</si>
  <si>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</si>
  <si>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</si>
  <si>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</si>
  <si>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</si>
  <si>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</si>
  <si>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</si>
  <si>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</si>
  <si>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r>
      <t xml:space="preserve">Розрахунок на два місяці
</t>
    </r>
    <r>
      <rPr>
        <i/>
        <sz val="14"/>
        <rFont val="Times New Roman"/>
        <family val="1"/>
        <charset val="204"/>
      </rPr>
      <t>надходження за 1 півр./6 х 2</t>
    </r>
  </si>
  <si>
    <t>Вілідація  411, 424, 69 (ЦФ)
СдП та СдК у таблицях 10, 11 та Балансі
Дт та Кт у таблицях 10 та 11
Якщо у Балансі є статутний капітал (відповідно до статуту складається з НА), то у таблиці 10  має бути первісна вартість ННМА та ОЗ в графі "статутний капітал"
Залишкова вартість ННМА та ОЗ не може бути менше нуля
Якщо у році зменшено статутний та неоплачений капітал, то має бути заповнена таблиця 10.1.</t>
  </si>
  <si>
    <t>1155.4</t>
  </si>
  <si>
    <t>1155.5</t>
  </si>
  <si>
    <t>1155.3.1</t>
  </si>
  <si>
    <t>1155.3.2</t>
  </si>
  <si>
    <r>
      <t>заборгованість бюджету  для компенсації витрат (збитків)
(</t>
    </r>
    <r>
      <rPr>
        <i/>
        <u/>
        <sz val="14"/>
        <color indexed="8"/>
        <rFont val="Times New Roman"/>
        <family val="1"/>
        <charset val="204"/>
      </rPr>
      <t>Дт 37 ЗБКВ</t>
    </r>
    <r>
      <rPr>
        <i/>
        <sz val="14"/>
        <color indexed="8"/>
        <rFont val="Times New Roman"/>
        <family val="1"/>
        <charset val="204"/>
      </rPr>
      <t xml:space="preserve"> Кт 719) (п.19 ПСБО 15) (ЗБКВ), у тому числі:</t>
    </r>
  </si>
  <si>
    <t>що виникли за рахунок амортизації основних засобів, отриманих як статутний капітал</t>
  </si>
  <si>
    <t>Вартість НА як СК без дооцінки</t>
  </si>
  <si>
    <t xml:space="preserve"> 10.2.1</t>
  </si>
  <si>
    <t xml:space="preserve"> 10.2.2</t>
  </si>
  <si>
    <t xml:space="preserve">  11.2</t>
  </si>
  <si>
    <t xml:space="preserve">  14.2</t>
  </si>
  <si>
    <t>сума компенсації збитку періода</t>
  </si>
  <si>
    <t>ЗВІТ ПРО ДОХОДИ ТА ВИТРАТИ  1 півріччя 2021 року</t>
  </si>
  <si>
    <t>відхилення розрахункового прибутку до значення у р.1420 СдП Балансу, тис. грн.</t>
  </si>
  <si>
    <t>веріфікація даних щодо амортизації</t>
  </si>
  <si>
    <r>
      <rPr>
        <sz val="14"/>
        <rFont val="Times New Roman"/>
        <family val="1"/>
        <charset val="204"/>
      </rPr>
      <t xml:space="preserve">1. Цільовий інший операційний дохід (71 ЦФ) р. 4.2.1., гр. 5  таблиця 4 = розрахованому за формулою 71ЦФ=цільові витрати таблиця 5.1.р.1.1.гр.14
</t>
    </r>
    <r>
      <rPr>
        <b/>
        <sz val="14"/>
        <rFont val="Times New Roman"/>
        <family val="1"/>
        <charset val="204"/>
      </rPr>
      <t xml:space="preserve">71 ЦФ  = 48 Дт - 69 Кт - Т12.1 передача ТМЦ   - Т12.1 А передача КАП - ПЦФБ Повернення цільового фінансування у бюджет (Д48 Кт31 ПЦФБ);
</t>
    </r>
    <r>
      <rPr>
        <sz val="14"/>
        <color indexed="49"/>
        <rFont val="Times New Roman"/>
        <family val="1"/>
        <charset val="204"/>
      </rPr>
      <t>2.  Дохід від безоплатно отриманої цільової послуги  р. 4.2.1.1 гр.5 таблиця 4 має бути не більше, ніж цільові витрати в частині послуг  гр.16 таблиці 5.1;</t>
    </r>
    <r>
      <rPr>
        <sz val="14"/>
        <rFont val="Times New Roman"/>
        <family val="1"/>
        <charset val="204"/>
      </rPr>
      <t xml:space="preserve">
3. Передача ТМЦ, що придбані (отримані) за кошти цільового фінансування (Дт 48 Кт 377) </t>
    </r>
    <r>
      <rPr>
        <sz val="14"/>
        <color indexed="8"/>
        <rFont val="Times New Roman"/>
        <family val="1"/>
        <charset val="204"/>
      </rPr>
      <t xml:space="preserve">
</t>
    </r>
    <r>
      <rPr>
        <sz val="14"/>
        <color indexed="10"/>
        <rFont val="Times New Roman"/>
        <family val="1"/>
        <charset val="204"/>
      </rPr>
      <t>значення не може бути від’ємним!</t>
    </r>
  </si>
  <si>
    <t>4. Якщо на початок періоду є капітал в дооцінках (крім дооцінки землі), то має бути Кт13 амортизація дооцінки (валідація №6) 
якщо, крім того, є Дт первісної вартості дооцінки (крім дооцінки землі Кт 411), то має бути дооцінка зносу і амортизація дооцінки</t>
  </si>
  <si>
    <t xml:space="preserve"> Якщо є ОЗ (крім землі), то має бути їх амортизація (якщо є СдП р.Т10.3 гр. 7, то має бути амортизація в р.Т10.3.2 гр.17)</t>
  </si>
  <si>
    <t>Якщо є  ОЗ (крім землі), то має бути амортизація (якщо є СдП р.Т10.3 гр. 8, то має бути амортизація в р.Т10.3.2 гр.18)</t>
  </si>
  <si>
    <r>
      <t xml:space="preserve">1. Сума залишкової вартості (капітал у дооцінках +  додатковий капітал   + доходи майбутніх періодів(ОЗ та ННМА) дорівнюють сумі залишкової вартості нематеріальних активів + основні засоби на початок періоду, отримані безоплатно або як цільове фінансування (424 + 69); 
2. Перевірка даних СдП та СдК таблиці 10 щодо нематеріальних активів з відповідними даними Балансу;
3. Перевірка даних СдП та СдК таблиці 10 щодо основних засобів  з відповідними даними Балансу;
4. Якщо є первісна вартість дооцінки, то має бути дооцінка зносу і амортизація дооцінки;
</t>
    </r>
    <r>
      <rPr>
        <sz val="14"/>
        <color indexed="49"/>
        <rFont val="Times New Roman"/>
        <family val="1"/>
        <charset val="204"/>
      </rPr>
      <t>5. Якщо є  ОЗ (крім землі), то має бути їх амортизація.</t>
    </r>
  </si>
  <si>
    <t>5. Якщо є  ОЗ (крім землі), то має бути їх амортизація</t>
  </si>
  <si>
    <t>Неопераційний дохід від амортизації  по НА та ОЗ, що отримані безоплатно 
(Дт 424 Кт 745)</t>
  </si>
  <si>
    <r>
      <rPr>
        <sz val="12"/>
        <color indexed="10"/>
        <rFont val="Times New Roman"/>
        <family val="1"/>
        <charset val="204"/>
      </rPr>
      <t>Увага!</t>
    </r>
    <r>
      <rPr>
        <sz val="12"/>
        <rFont val="Times New Roman"/>
        <family val="1"/>
        <charset val="204"/>
      </rPr>
      <t xml:space="preserve"> Якщо відбулася зміна статутного капіталу, то у комірці L58 надайте відповідь, чи є відповідне рішення сесії місцевої ради ("так", "ні")</t>
    </r>
  </si>
  <si>
    <t>дохід  для покриття витрат (збитків) за рахунок бюджету  (Дт 37 ЗБКВ Кт 719) (п.19 ПСБО 15), всього, у тому числі:</t>
  </si>
  <si>
    <t>4.2.4.1.1.</t>
  </si>
  <si>
    <t>4.2.4.1.2.</t>
  </si>
  <si>
    <t>р. 1155 Балансу, всього СдП</t>
  </si>
  <si>
    <t>сума  рядків 1155.1-1155.5</t>
  </si>
  <si>
    <t>Дебіторська заборгованість за продукцію, товари, роботи, послуги, всього, у тому числі:</t>
  </si>
  <si>
    <t>за ПМГ</t>
  </si>
  <si>
    <t>за медичні та немедичні послуги за кошти фізичних і юридичних осіб, за страхові виплати</t>
  </si>
  <si>
    <t>у тому числі сума рядків  1125.2-1125.3</t>
  </si>
  <si>
    <t>Інше (інший операційний дохід), всього, з нього</t>
  </si>
  <si>
    <t>Дані р.  1155 Балансу «Інша поточна дебіторська заборгованість, всього, у  тому числі» не можуть бути меншими, ніж сума  рядків: «розрахунки з держaвними цільовими фондами»; «заборгованість бюджету з цільового фінансування (Дт 37 ЗБЦФ Кт 48)»; «заборгованість бюджету  для компенсації витрат (збитків)  (Дт 37 ЗБКВ Кт 719) (п.19 ПСБО 15) (ЗБКВ)», "заборгованість з цільової благодійної допомоги (у разі фінансування пацієнтом  свого лікування) (Дт 37 ПцЦФ Кт 48)", "заборгованість за надання майна в оренду та компенсацій за комунальні платежі від орендаря"</t>
  </si>
  <si>
    <r>
      <t xml:space="preserve"> Дані р. 1125 Балансу «Дебіторська заборгованість за продукцію, товари, роботи, послуги» не можуть бути меншими, ніж сума рядків: «тому числі за ПМГ», "за медичні та немедичні послуги за кошти фізичних і юридичних осіб, за страхові виплати", </t>
    </r>
    <r>
      <rPr>
        <sz val="14"/>
        <color indexed="62"/>
        <rFont val="Times New Roman"/>
        <family val="1"/>
        <charset val="204"/>
      </rPr>
      <t>"за надання майна в оренду та компенсацій за комунальні платежі від орендаря"</t>
    </r>
  </si>
  <si>
    <t>Якщо є безоплатно отримана цільова послуга  р. 4.2.1.1 гр.5, то її обсяг має бути не більше суми цільових витрат в частині послуг  гр.16 таблиці 5.1 - то ПРАВДА</t>
  </si>
  <si>
    <r>
      <t xml:space="preserve">Передача ТМЦ, що придбані (отримані) за кошти цільового фінансування
</t>
    </r>
    <r>
      <rPr>
        <b/>
        <sz val="14"/>
        <color indexed="10"/>
        <rFont val="Times New Roman"/>
        <family val="1"/>
        <charset val="204"/>
      </rPr>
      <t>Значення не може бути від’ємним!</t>
    </r>
  </si>
  <si>
    <t>13.1.</t>
  </si>
  <si>
    <t>13.2.</t>
  </si>
  <si>
    <t xml:space="preserve">ПЗБЦФ
Погашення заборгованості бюджету з цільового фінансування
 (Дт 31 Кт 37 ПЗБЦФ) </t>
  </si>
  <si>
    <r>
      <t xml:space="preserve"> 48 Кт = цільове фінансування (надходження) - 424 Кт + заборгованість з ЦФ - погашення заборговансті з ЦФ
 </t>
    </r>
    <r>
      <rPr>
        <b/>
        <sz val="14"/>
        <color indexed="10"/>
        <rFont val="Times New Roman"/>
        <family val="1"/>
        <charset val="204"/>
      </rPr>
      <t>Значення не може бути від’ємним!</t>
    </r>
  </si>
  <si>
    <t>48 Дт = 48СдП-48СдК+48 Кт
48 Кт = цільове фінансування (надходження) - 424 Кт +  Заборгованість  з цільового фінансування (Дт 37  Кт 48)   - Погашення заборгованості  з цільового фінансування (Дт 31 Кт 37) 
424 Кт = 424 СдК + АММ 745 (424)- передача ОЗ  -424 СдП  
УВАГА!!!І Якщо існують госп.операції з додатковим капиталом (крім землі),  заповніть  АММ 745(424) (Дт 424 Кт 745) в таблиці 4, р. 4.3.2. гр.5</t>
  </si>
  <si>
    <t>14.1.</t>
  </si>
  <si>
    <t>14.2.</t>
  </si>
  <si>
    <t>код рядка</t>
  </si>
  <si>
    <t>Фрагмент Балансу</t>
  </si>
  <si>
    <t>Верифікація, обороти бюджету
Баланс СдП 37 ЗБПц +Дт 37 ЗБПц -Баланс СдК 37 ЗБПц 
= Кт 37 ПЗПц</t>
  </si>
  <si>
    <t>Дані р. 1660 "Поточні забезпечення" Балансу не більше витрат на оплату праці в місяць + ЕСВ</t>
  </si>
  <si>
    <t xml:space="preserve">Пасив - валідація на невідповідності
1. Дані р. 1525 Балансу "Цільове фінансування (всього)" не можуть бути меншими, ніж сума відповідних рядків із запасами та капітальними інвестиціями;
2. Дані р. 1665 Балансу "Доходи майбутніх періодів (всього)" не можуть бути меншими, ніж залишкова вартість НА, ОЗ що  придбані за кошти цільового фінансування;
3. Дані р. 1635 Балансу "Поточна кредиторська заборгованість за отриманими авансами, всього" не можуть бути меншими, ніж сума р.1635.1, 1635.2, 1635.3;
4. Дані р. "Цільове фінансування інше" Балансу мають бути меншими або рівними сумі залишку грошових коштів та авансів;
5. Дані р. "Додатковий капітал інше" Балансу мають дорівнювати 0;
6. Дані р. 1660 "Поточні забезпечення" Балансу не більше витрат на оплату праці в місяць + ЕСВ;
7. Дані р. "доходи майбутніх періодів інше" Балансу  не  більше двох  місячних сум  від надання майна в оренду  (якщо Договор містить предоплати за останні місяці);
8. Дані р. 1690 "Інші поточні зобов’язання" не може містити суттєвих сум;
9. Дані р.1430  "Вилучений капітал " Балансу мають дорівнювати 0. </t>
  </si>
  <si>
    <r>
      <t>на суму залишків запасів, що отримані з бюджету або як благодійна допомога (</t>
    </r>
    <r>
      <rPr>
        <sz val="14"/>
        <color indexed="62"/>
        <rFont val="Times New Roman"/>
        <family val="1"/>
        <charset val="204"/>
      </rPr>
      <t>у тому числі від пацієнта</t>
    </r>
    <r>
      <rPr>
        <sz val="14"/>
        <color indexed="8"/>
        <rFont val="Times New Roman"/>
        <family val="1"/>
        <charset val="204"/>
      </rPr>
      <t>), р. 1525.1+1525.3</t>
    </r>
  </si>
  <si>
    <t>на суму залишків капітальних інвестицій, що отримані з бюджету або як благодійна допомога, р. 1525.2</t>
  </si>
  <si>
    <t>на суму залишків капітальних інвестицій, що отримані з бюджету або як благодійна допомога</t>
  </si>
  <si>
    <t xml:space="preserve"> джерела фінасування</t>
  </si>
  <si>
    <t>10.1.</t>
  </si>
  <si>
    <t>10.2.</t>
  </si>
  <si>
    <t>11.1.</t>
  </si>
  <si>
    <t>11.2.</t>
  </si>
  <si>
    <t xml:space="preserve"> 4.2.1.2</t>
  </si>
  <si>
    <t>від безоплатно отриманої цільової послуги</t>
  </si>
  <si>
    <t>16.1.</t>
  </si>
  <si>
    <t>Звітний період 
гр. 16.1 + гр. 16.2.</t>
  </si>
  <si>
    <t>4.1.3.2.</t>
  </si>
  <si>
    <t>дохід за програмою медичних гарантій (з додатка Доходи ПМГ)</t>
  </si>
  <si>
    <t>дохід від надання медичних та немедичних послуг за кошти фізичних і юридичних осіб та страхових виплат</t>
  </si>
  <si>
    <t>Цільовий інший операційний дохід, всього, у тому числі</t>
  </si>
  <si>
    <t>за рахунок фінансування пацієнтом  свого лікування ЦФ Пц</t>
  </si>
  <si>
    <t>за рахунок бюджетів усіх рівнів та благодійної допомоги, без ЦФ Пц</t>
  </si>
  <si>
    <t>фінансування пацієнтом  свого лікування</t>
  </si>
  <si>
    <t>Якщо р. 4.2.1.2 гр.5 = Цільові витрати в частині послуг гр.15.2 таблиці 5.1 - то ПРАВДА</t>
  </si>
  <si>
    <t>.2.3</t>
  </si>
  <si>
    <t>Середньомісячна заробітна плата одного штатного працівника в місяць, грн.</t>
  </si>
  <si>
    <t>Середня кількість працівників, всього</t>
  </si>
  <si>
    <t>в еквіваленті повної зайнятості (з розрахунку 40-годинного робочого тижня) в місяць, грн.</t>
  </si>
  <si>
    <t>середньооблікова кількість штатних працівників</t>
  </si>
  <si>
    <t>Норма тривалості робочого часу на 1 півріччя  2021 року при 40-годинному робочому тижні</t>
  </si>
  <si>
    <t>ЗП Фонд оплати праці штатних працівників, всього</t>
  </si>
  <si>
    <t>ВПМР Фонд оплати праці штатних працівників, всього</t>
  </si>
  <si>
    <t>від пацієнта для свого лікування -Пц</t>
  </si>
  <si>
    <r>
      <t xml:space="preserve">ПЦФБ
Повернення цільового фінансування у бюджет 
(Д48 </t>
    </r>
    <r>
      <rPr>
        <u/>
        <sz val="14"/>
        <rFont val="Times New Roman"/>
        <family val="1"/>
        <charset val="204"/>
      </rPr>
      <t>Кт 31 ПЦФБ</t>
    </r>
    <r>
      <rPr>
        <sz val="14"/>
        <rFont val="Times New Roman"/>
        <family val="1"/>
        <charset val="204"/>
      </rPr>
      <t xml:space="preserve">)  </t>
    </r>
  </si>
  <si>
    <t xml:space="preserve">Заборгованість  з цільового фінансування (Дт 37 Кт 48) </t>
  </si>
  <si>
    <t xml:space="preserve">
Погашення заборгованості з цільового фінансування
 (Дт 31 Кт 37 ) </t>
  </si>
  <si>
    <t xml:space="preserve">грошові кошти з урахуванням погашення </t>
  </si>
  <si>
    <t xml:space="preserve">заборгованість з цільового фінансування (Дт 37 ЗБЦФ Кт 48) </t>
  </si>
  <si>
    <t>№ перевірки попередній</t>
  </si>
  <si>
    <t>№ перевірки на 1 півріччя</t>
  </si>
  <si>
    <t>Інтегрована оцінка фонд оплати праці (№48-55)</t>
  </si>
  <si>
    <t>Увага +-2%</t>
  </si>
  <si>
    <t xml:space="preserve">Запаси, що отримані з бюджету або як благодійна допомога (СдП+придбання ТМЦ-витрати ТМЦ=СдК) 
</t>
  </si>
  <si>
    <t>Фінансовий результат без амортизації
Доходи без доходів від амортизації - витрати (таблиця 5 виробнича собівартість готової продукції та товарів + витрати таблиця 5.1. без амортизації) &gt;= 0</t>
  </si>
  <si>
    <t xml:space="preserve">Покриття витрат без амортизації
Доходи без доходів від амортизації з авансами ПМГ - витрати (таблиця 5 виробнича собівартість готової продукції та товарів + витрати таблиця 5.1. без амортизації) &gt;= 0  </t>
  </si>
  <si>
    <t>Фінансовий результат
Доходи - витрати (таблиця 5 виробнича собівартість готової продукції та товарів + витрати таблиця 5.1. з амортизацією) &gt;= 0</t>
  </si>
  <si>
    <t xml:space="preserve">Покриття витрат з амортизацією
Доходи +  аванси ПМГ + коригування прибутку з дооцінки  - витрати (таблиця 5 виробнича собівартість готової продукції та товарів + витрати таблиця 5.1. з амортизацією)) &gt;= 0  </t>
  </si>
  <si>
    <t>Увага +- 2%</t>
  </si>
  <si>
    <t>5True</t>
  </si>
  <si>
    <t>5 True</t>
  </si>
  <si>
    <t>4 True, 1 Увага</t>
  </si>
  <si>
    <t>від цільової благодійної допомоги в частині фінансування пацієнтом  свого лікування</t>
  </si>
  <si>
    <t>повернення пацієнту залишків лікарських засобів та/або медичних виробів ЦФ Пц ( Дт 37 Кт 20*, Дт 48 Кт 37)</t>
  </si>
  <si>
    <t xml:space="preserve">передача в іншу організацію ТМЦ, що придбані (отримані) </t>
  </si>
  <si>
    <t>за кошти цільового фінансування (Дт 48 Кт 20*)</t>
  </si>
  <si>
    <t>на суму залишків запасів, що отримані з бюджету або як благодійна допомога, всього, у тому числі</t>
  </si>
  <si>
    <t xml:space="preserve">ЗБЦФ
Заборгованість бюджету з цільового фінансування 
(Дт 37 ЗБЦФ Кт 48) </t>
  </si>
  <si>
    <t xml:space="preserve"> 13.2</t>
  </si>
  <si>
    <t xml:space="preserve">ЗБПц
Заборгованість з цільової благодійної допомоги в частині оплати самим пацієнтом свого лікування
(Дт 37 ЗБПц Кт 48 Пц) </t>
  </si>
  <si>
    <t xml:space="preserve">ПЗПц
Погашення заборгованості з цільової благодійної допомоги в частині оплати самим пацієнтом свого лікування
 (Дт 31 Кт 37 ПЗПц) </t>
  </si>
  <si>
    <t>за надання майна в оренду та компенсацій за комунальні платежі від орендаря</t>
  </si>
  <si>
    <t xml:space="preserve">Дт 37 ЗБПц
Заборгованість з цільової благодійної допомоги в частині оплати самим пацієнтом свого лікування
(Дт 37 ЗБПц Кт 48 Пц) </t>
  </si>
  <si>
    <t xml:space="preserve">Кт 37 ПЗПц
Погашення заборгованості з цільової благодійної допомоги в частині оплати самим пацієнтом свого лікування
 (Дт 31 Кт 37 ПЗПц) </t>
  </si>
  <si>
    <t>Кт 37 ПЗПц 
розрахунковий</t>
  </si>
  <si>
    <t xml:space="preserve">Фінансування пацієнтом  свого лікування
Якщо р. 4.2.1.2 гр.5 = Цільові витрати в частині послуг гр.15.2 таблиці 5.1 - то ПРАВДА
</t>
  </si>
  <si>
    <t>надходження від  пацієнта для свого лікування у натуральній формі - Пц</t>
  </si>
  <si>
    <t>Оприбуткування ТМЦ, всього</t>
  </si>
  <si>
    <r>
      <t xml:space="preserve">надходження 
</t>
    </r>
    <r>
      <rPr>
        <b/>
        <sz val="14"/>
        <rFont val="Times New Roman"/>
        <family val="1"/>
        <charset val="204"/>
      </rPr>
      <t>(за виключенням гр.10.2)</t>
    </r>
  </si>
  <si>
    <r>
      <t xml:space="preserve">надходження 
</t>
    </r>
    <r>
      <rPr>
        <b/>
        <sz val="14"/>
        <rFont val="Times New Roman"/>
        <family val="1"/>
        <charset val="204"/>
      </rPr>
      <t>(за виключенням гр. 11.2)</t>
    </r>
  </si>
  <si>
    <t>Надходження</t>
  </si>
  <si>
    <t xml:space="preserve">Добровільна цільова благодійна допомога 
забезпечення самим пацієнтом свого лікування лікарськими засобами та/або медичними виробами згідно з призначеннями лікаря </t>
  </si>
  <si>
    <t>з гр. 10.2.1. поставки поточного періоду</t>
  </si>
  <si>
    <r>
      <t xml:space="preserve">Всього оприбуткування </t>
    </r>
    <r>
      <rPr>
        <u/>
        <sz val="11"/>
        <rFont val="Times New Roman"/>
        <family val="1"/>
        <charset val="204"/>
      </rPr>
      <t xml:space="preserve"> 
Дт 20  ЦФПц</t>
    </r>
  </si>
  <si>
    <t>придбання
(за виключенням гр.10.2)</t>
  </si>
  <si>
    <t>оприбуткування
(за виключенням гр.11.2)</t>
  </si>
  <si>
    <t>Вироби медичного призначення</t>
  </si>
  <si>
    <t xml:space="preserve">Оплата комунальних послуг та інших  енергоносіїв  </t>
  </si>
  <si>
    <t>СдП 
37 ЗБПц</t>
  </si>
  <si>
    <t xml:space="preserve">СдК 
37 ЗБПц </t>
  </si>
  <si>
    <t>для розрахунку вартості медикаментів, які потрібно закупити</t>
  </si>
  <si>
    <t>переміщення ТМЦ з складу на склад
з "Інше" 20+ (Кт) на "цільове фінансування, благодійна допомога, пацієнт"  20 ЦФ Пц (Дт)</t>
  </si>
  <si>
    <t>10.2.1.1.</t>
  </si>
  <si>
    <t>10.2.1.2.</t>
  </si>
  <si>
    <t>Цільова благодійна допомога за рахунок фінансування пацієнтом  свого лікування ЦФ Пц</t>
  </si>
  <si>
    <t>Фрагмент Балансу, р. 1155.4</t>
  </si>
  <si>
    <t>заборгованість бюджету  для компенсації витрат (збитків) (Дт 37 ЗБКВ Кт 719) (п.19 ПСБО 15) (ЗБКВ)</t>
  </si>
  <si>
    <t>Таблиця 12. Передача, вибуття НА, ТМЦ та незавершених капітальних інвестицій, що отримані як цільове фінансування, безоплатно отримані</t>
  </si>
  <si>
    <t>12.1.2.</t>
  </si>
  <si>
    <t>12.1.1.</t>
  </si>
  <si>
    <t>запаси, що отримані від пацієнта для свого лікування як цільова благодійна допомога</t>
  </si>
  <si>
    <t>1525.1.1.</t>
  </si>
  <si>
    <t>1525.1.2.</t>
  </si>
  <si>
    <t>з бюджету або як благодійна допомога (крім запасів за рахунок пацієнта)</t>
  </si>
  <si>
    <t>від пацієнта для свого лікування як цільова благодійна допомога</t>
  </si>
  <si>
    <t>Всього, у тому числі погашення  заборгованості попередніх періодів (гр. 14.2 цієї таблиці)
Кт 48 Пц 
гр. 10.2.1.+ гр. 10.2.2.+ гр. 11.2 +14.2</t>
  </si>
  <si>
    <t>формула розрахунку СдК</t>
  </si>
  <si>
    <t>Валідація даних СдК</t>
  </si>
  <si>
    <t>Поточна кредиторська заборгованість за отриманими авансами, всього, у тому числі</t>
  </si>
  <si>
    <t>за надання майна в оренду та компенсації за комунальні платежі від орендаря</t>
  </si>
  <si>
    <t>за медичні та немедичні послуги за кошти фізичних і юридичних осіб, за страховими виплатами</t>
  </si>
  <si>
    <t>Актив - валідація на невідповідності
1. Дані р. 1125 Балансу «Дебіторська заборгованість за продукцію, товари, роботи, послуги» не можуть бути меншими, ніж сума рядків 1125.1, 1125.2., 1125.3;
2. Дані р.  1155 Балансу «Інша поточна дебіторська заборгованість, всього, у  тому числі» не можуть бути меншими, ніж сума  рядків 1155.1, 1155.2, 1155.3, 1155.4, 1155.5;
3.  Дані р. 1170  Балансу «Витрати майбутніх періодів» співвідносяться з надходженнями;
4. Дані р. 1090  Балансу «Інші необоротні активи" = 0; 
5. Дані р. 1190  Балансу  «Інші оборотні активи" не може містити суттєвих сум;
6. Якщо є заборгованість бюджету з цільового фінансування, то ця сума має бути в р. 1615 "Поточна кредиторська заборгованість за товари, роботи, послуги"
7. Звіт Пацієнт, валідація СдК дебіторська заборгованість з цільової благодійної допомоги в частині оплати самим пацієнтом свого лікування (Дт 37 ЗБПц Кт 48 Пц)
розрахункове значення СдК спіставляєтьс з значенням у Балансі</t>
  </si>
  <si>
    <t>Звіт Пацієнт 
СдК дебіторська заборгованість з цільової благодійної допомоги в частині оплати самим пацієнтом свого лікування (Дт 37 ЗБПц Кт 48 Пц)
розрахункове значення СдК спіставляєтьс з значенням у Балансі</t>
  </si>
  <si>
    <t>Звіт Пацієнт 
СдК запаси, що отримані від пацієнта для свого лікування як цільова благодійна допомога
розрахункове значення СдК спіставляєтьс з значенням у Балансі</t>
  </si>
  <si>
    <t xml:space="preserve">Пасив - валідація на невідповідності
1. Дані р. 1525 Балансу "Цільове фінансування (всього)" не можуть бути меншими, ніж сума відповідних рядків із запасами та капітальними інвестиціями;
2. Дані р. 1665 Балансу "Доходи майбутніх періодів (всього)" не можуть бути меншими, ніж залишкова вартість НА, ОЗ що  придбані за кошти цільового фінансування;
3. Дані р. 1635 Балансу "Поточна кредиторська заборгованість за отриманими авансами, всього" не можуть бути меншими, ніж сума р.1635.1, 1635.2, 1635.3;
4. Дані р. "Цільове фінансування інше" Балансу мають бути меншими або рівними сумі залишку грошових коштів та авансів;
5. Дані р. "Додатковий капітал інше" Балансу мають дорівнювати 0;
6. Дані р. 1660 "Поточні забезпечення" Балансу не більше витрат на оплату праці в місяць + ЕСВ;
7. Дані р. "доходи майбутніх періодів інше" Балансу  не  більше двох  місячних сум  від надання майна в оренду  (якщо Договор містить предоплати за останні місяці);
8. Дані р. 1690 "Інші поточні зобов’язання" не може містити суттєвих сум;
9. Дані р.1430  "Вилучений капітал " Балансу мають дорівнювати 0;
10. СдК запаси, що отримані від пацієнта для свого лікування як цільова благодійна допомога
розрахункове значення СдК спіставляєтьс з значенням у Балансі.
</t>
  </si>
  <si>
    <t>ЦФ Пц</t>
  </si>
  <si>
    <t>від пацієнта для свого лікування -Пц*</t>
  </si>
  <si>
    <t>Кров та її компоненти **</t>
  </si>
  <si>
    <t>** якщо є оприбуткування крові та її компонентів, то мають бути заповнені відповідні дані у таблиці Кров та/або її компоненти (вкладка Звіт 7,8)</t>
  </si>
  <si>
    <t>Таблиця Кров та/або її компоненти**</t>
  </si>
  <si>
    <t>**таблиця заповнюється за умови наявності даних у відповідній статті розділів Придбання ТМЦ та/або Витрати</t>
  </si>
  <si>
    <t>ЦФ без ЛЗ та МВ Пц</t>
  </si>
  <si>
    <r>
      <t xml:space="preserve">* </t>
    </r>
    <r>
      <rPr>
        <i/>
        <sz val="14"/>
        <rFont val="Times New Roman"/>
        <family val="1"/>
        <charset val="204"/>
      </rPr>
      <t>якщо є переміщення ТМЦ з складу  "Інше" 20+ (Кт) на склад "цільове фінансування, благодійна допомога, пацієнт"  20 ЦФ Пц (Дт), то дані відображаються тільки на складі "цільове фінансування, благодійна допомога, пацієнт"  20 ЦФ Пц (Дт)</t>
    </r>
  </si>
  <si>
    <r>
      <t xml:space="preserve">
Придбання, оприбуткування ТМЦ, всього
</t>
    </r>
    <r>
      <rPr>
        <sz val="14"/>
        <rFont val="Times New Roman"/>
        <family val="1"/>
        <charset val="204"/>
      </rPr>
      <t>крім переміщення запасів минулого періоду під пацієнта</t>
    </r>
  </si>
  <si>
    <t>всього,
з урахуванням переміщення запасів минулого періоду під пацієнта</t>
  </si>
  <si>
    <t xml:space="preserve">для розрахунку вартості медикаментів зі складу
    </t>
  </si>
  <si>
    <t xml:space="preserve">Кт 48 Пц </t>
  </si>
  <si>
    <t>СдП (р. 1125.1.2 Баланс + Кт 48 Пц (таблиця 2, р. 2 ) - Дт 48 Пц (таблиця 5.1 +таблиця 12)</t>
  </si>
  <si>
    <t>Дт 31/301 Кт 37
грошові кошти пацієнта</t>
  </si>
  <si>
    <t>16.2.</t>
  </si>
  <si>
    <t>Інше (ПМГ та власні кошти)*
* якщо є переміщення ТМЦ з складу  "Інше" 20+ (Кт) на склад "цільове фінансування, благодійна допомога, пацієнт"  20 ЦФ Пц (Дт), то дані відображаються тільки на складі "цільове фінансування, благодійна допомога, пацієнт"  20 ЦФ Пц (Дт)</t>
  </si>
  <si>
    <t>гр. 8 розрахункове значення для валідації</t>
  </si>
  <si>
    <t>СдП (р. 1155.4 Баланс + Дт 37 (таблиця 2  гр. 10.2.1.+гр.10.2.2) - Кт 37 (таблиця 1 гр.10.2.1  + гр. 10.2.2. + 14.2 )</t>
  </si>
  <si>
    <t>з гр. 10.2.1. поставки попереднього періоду</t>
  </si>
  <si>
    <t>в т.ч. з  табл.5.1 гр. 16.2 ЦВ Пц + 12.1.2</t>
  </si>
  <si>
    <t>ЦФ,
з урахуванням переміщення запасів минулого періоду під пацієнта</t>
  </si>
  <si>
    <t>Просимо відповісти на наступні запитання:</t>
  </si>
  <si>
    <t>4. Якщо не відображено або відображено частково, то вкажіть причини</t>
  </si>
  <si>
    <t>У вашому КНП є випадки, коли:</t>
  </si>
  <si>
    <t>1. Лікарня використовує власні лікарські засоби та/або медичні вироби для  лікування пацієнта, а пацієнт вносить плату за них? (так/ні)</t>
  </si>
  <si>
    <t>Таблиця 5.1. Операційні витрати</t>
  </si>
  <si>
    <t>повернення пацієнту залишків лікарських засобів та/або медичних виробів ЦФ Пц 
(Дт 37 Кт 20*, Дт 48 Кт 37)</t>
  </si>
  <si>
    <t>Таблиця 9. Баланс, тис. грн з  з одним знаком після коми</t>
  </si>
  <si>
    <t>в Дт 20 ЦФ Пц
поставка попереднього періоду</t>
  </si>
  <si>
    <t>Таблиця 10
Дт ТМЦ з урахуванням переміщення запасів минулого періоду під пацієнта</t>
  </si>
  <si>
    <t>Таблиця 2
придбання ТМЦ з урахуванням переміщення запасів минулого періоду під пацієнта</t>
  </si>
  <si>
    <t>якщо у звітному періоді були операції "з балансу на баланс" просимо заповнити один з двох рядків (якщо приймали - то перший рядок, якщо передавали - другий)</t>
  </si>
  <si>
    <t>Приймаюча сторона, код ЄДРПОУ</t>
  </si>
  <si>
    <t xml:space="preserve">Приймання на баланс </t>
  </si>
  <si>
    <t xml:space="preserve">дата прийняття на баланс </t>
  </si>
  <si>
    <t>ДД.ММ. РР.</t>
  </si>
  <si>
    <t>Сторона, що передає, код ЄДРПОУ</t>
  </si>
  <si>
    <t>Передача на баланс</t>
  </si>
  <si>
    <t xml:space="preserve">дата  передачі на баланс </t>
  </si>
  <si>
    <t>від якого КНП, код ЄДРПОУ</t>
  </si>
  <si>
    <t>якому КНП, код ЄДРПОУ</t>
  </si>
  <si>
    <t xml:space="preserve"> =ROUND(('Звіт   9'!H74+'Звіт   9'!H77);1)</t>
  </si>
  <si>
    <t>ПМГ та 
власні кошти</t>
  </si>
  <si>
    <t>Таблиця 2. Придбання, оприбуткування ТМЦ, гривень</t>
  </si>
  <si>
    <t>попередня нумерація</t>
  </si>
  <si>
    <t>1.2.4.</t>
  </si>
  <si>
    <t>Переміщення Дт 20 "ЦФ" Пц Кт 20 "ПМГ+" тільки поставки минулого періоду</t>
  </si>
  <si>
    <r>
      <t xml:space="preserve">2. Лікарня використовує лікарські засоби та/або медичні вироби, що придбані пацієнтом в аптеці, яка </t>
    </r>
    <r>
      <rPr>
        <b/>
        <u/>
        <sz val="14"/>
        <color indexed="8"/>
        <rFont val="Times New Roman"/>
        <family val="1"/>
        <charset val="204"/>
      </rPr>
      <t>не</t>
    </r>
    <r>
      <rPr>
        <sz val="14"/>
        <color indexed="8"/>
        <rFont val="Times New Roman"/>
        <family val="1"/>
        <charset val="204"/>
      </rPr>
      <t xml:space="preserve"> є  структурним підрозділом лікарні для його лікування? (так/ні)</t>
    </r>
  </si>
  <si>
    <t>Відображення операцій щодо забезпечення самим пацієнтом свого лікування лікарськими засобами та/або медичними виробами згідно з призначеннями лікаря 
(добровільна цільова благодійна допомога у вигляді грошових коштів або в натуральній формі)</t>
  </si>
  <si>
    <t>3. Чи відображено це в бухгалтерському обліку закладу? (так/ні/частково)</t>
  </si>
  <si>
    <t>8.2.2.</t>
  </si>
  <si>
    <t>8.2.1.1.</t>
  </si>
  <si>
    <t>8.2.1.2.</t>
  </si>
  <si>
    <t>8.2.1.1. від безоплатно отриманої цільової послуги</t>
  </si>
  <si>
    <t>8.2.1.2. від цільової благодійної допомоги в частині фінансування пацієнтом  свого лікування</t>
  </si>
  <si>
    <t>з цільової благодійної допомоги в частині фінансування самим пацієнтом свого лікування (Дт 37 ЗБПц Кт 48 Пц)</t>
  </si>
  <si>
    <t>дебіторська заборгованість з цільової благодійної допомоги в частині фінансування самим пацієнтом свого лікування (Дт 37 ЗБПц Кт 48 Пц)</t>
  </si>
  <si>
    <t xml:space="preserve">тип операций "з балансу на баланс" </t>
  </si>
  <si>
    <t xml:space="preserve">1. ПІБ керівника (власника) та/або особи, відповідальної за достовірність наданої інформації     </t>
  </si>
  <si>
    <t xml:space="preserve">2. Номер телефону керівника (власника) та/або особи, відповідальної за достовірність наданої інформації                                                                                     </t>
  </si>
  <si>
    <t xml:space="preserve">3. ПІБ виконавця   </t>
  </si>
  <si>
    <t>4. Номер телефону виконавця</t>
  </si>
  <si>
    <t>5. Електронна пошта виконавця</t>
  </si>
  <si>
    <r>
      <t xml:space="preserve">Перевірка на наявність ЄДРПОУ та інших даних, розташованих на вкладках "Звіт 1,2,3",  "Звіт 9", </t>
    </r>
    <r>
      <rPr>
        <b/>
        <sz val="14"/>
        <color indexed="8"/>
        <rFont val="Times New Roman"/>
        <family val="1"/>
        <charset val="204"/>
      </rPr>
      <t>"Звіт Пацієнт"</t>
    </r>
  </si>
  <si>
    <t>22222222</t>
  </si>
  <si>
    <t>33333333</t>
  </si>
  <si>
    <t>02006707</t>
  </si>
  <si>
    <t>КНП "Запорізький регіональний фтизіопульмонологічний клінічний лікувально-діагностичний центр" ЗОР</t>
  </si>
  <si>
    <t xml:space="preserve">м.Запоріжжя, вул.Перспективна, 2 </t>
  </si>
  <si>
    <t>sima0761@ukr.net</t>
  </si>
  <si>
    <t>ні</t>
  </si>
  <si>
    <t>Використовуються лікарські засоби і вироби медичного призначення, які отримані безкоштовно за кошти державного бюджету і глобального фонду</t>
  </si>
  <si>
    <t>Тищенко О.В.</t>
  </si>
  <si>
    <t>Симонтовська Н.К.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</si>
</sst>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#,##0.0"/>
    <numFmt numFmtId="181" formatCode="0.0%"/>
    <numFmt numFmtId="182" formatCode="0.0"/>
    <numFmt numFmtId="183" formatCode="#,##0.00000"/>
    <numFmt numFmtId="184" formatCode="#,##0.000"/>
  </numFmts>
  <fonts count="16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sz val="10"/>
      <name val="Times New Roman Cyr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u/>
      <sz val="14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i/>
      <sz val="11"/>
      <color indexed="9"/>
      <name val="Times New Roman"/>
      <family val="1"/>
      <charset val="204"/>
    </font>
    <font>
      <i/>
      <sz val="16"/>
      <color indexed="23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i/>
      <sz val="16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4"/>
      <color indexed="56"/>
      <name val="Times New Roman"/>
      <family val="1"/>
      <charset val="204"/>
    </font>
    <font>
      <b/>
      <sz val="14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49"/>
      <name val="Times New Roman"/>
      <family val="1"/>
      <charset val="204"/>
    </font>
    <font>
      <sz val="14"/>
      <color indexed="6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20"/>
      <color indexed="81"/>
      <name val="Tahoma"/>
      <family val="2"/>
      <charset val="204"/>
    </font>
    <font>
      <sz val="22"/>
      <color indexed="8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 tint="0.3499862666707357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theme="0" tint="-0.499984740745262"/>
      <name val="Times New Roman"/>
      <family val="1"/>
      <charset val="204"/>
    </font>
    <font>
      <sz val="20"/>
      <color theme="0"/>
      <name val="Times New Roman"/>
      <family val="1"/>
      <charset val="204"/>
    </font>
    <font>
      <b/>
      <i/>
      <sz val="20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 tint="0.499984740745262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2" tint="-9.9978637043366805E-2"/>
      <name val="Times New Roman"/>
      <family val="1"/>
      <charset val="204"/>
    </font>
    <font>
      <sz val="12"/>
      <color theme="2" tint="-9.9978637043366805E-2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sz val="16"/>
      <color rgb="FF00206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8"/>
      <color theme="10"/>
      <name val="Calibri"/>
      <family val="2"/>
      <charset val="204"/>
      <scheme val="minor"/>
    </font>
    <font>
      <sz val="16"/>
      <color rgb="FF212529"/>
      <name val="Consolas"/>
      <family val="3"/>
      <charset val="204"/>
    </font>
    <font>
      <sz val="18"/>
      <color rgb="FF212529"/>
      <name val="Consolas"/>
      <family val="3"/>
      <charset val="204"/>
    </font>
    <font>
      <sz val="20"/>
      <color rgb="FF212529"/>
      <name val="Consolas"/>
      <family val="3"/>
      <charset val="204"/>
    </font>
    <font>
      <sz val="20"/>
      <color theme="1"/>
      <name val="Times New Roman"/>
      <family val="1"/>
      <charset val="204"/>
    </font>
    <font>
      <u/>
      <sz val="16"/>
      <color theme="10"/>
      <name val="Calibri"/>
      <family val="2"/>
      <charset val="204"/>
      <scheme val="minor"/>
    </font>
    <font>
      <sz val="14"/>
      <color theme="8" tint="-0.49998474074526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8"/>
      <color rgb="FF002060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79" fillId="0" borderId="0"/>
    <xf numFmtId="0" fontId="81" fillId="0" borderId="0"/>
    <xf numFmtId="0" fontId="16" fillId="0" borderId="0"/>
    <xf numFmtId="0" fontId="17" fillId="0" borderId="0"/>
    <xf numFmtId="0" fontId="82" fillId="0" borderId="0" applyNumberFormat="0" applyFill="0" applyBorder="0" applyAlignment="0" applyProtection="0"/>
    <xf numFmtId="0" fontId="2" fillId="0" borderId="0"/>
    <xf numFmtId="0" fontId="3" fillId="0" borderId="0"/>
    <xf numFmtId="0" fontId="15" fillId="0" borderId="0"/>
  </cellStyleXfs>
  <cellXfs count="2815">
    <xf numFmtId="0" fontId="0" fillId="0" borderId="0" xfId="0"/>
    <xf numFmtId="0" fontId="4" fillId="0" borderId="0" xfId="7" applyFont="1" applyFill="1" applyBorder="1" applyAlignment="1">
      <alignment horizontal="left" vertical="center"/>
    </xf>
    <xf numFmtId="0" fontId="4" fillId="0" borderId="0" xfId="7" applyFont="1" applyFill="1" applyBorder="1" applyAlignment="1">
      <alignment vertical="center"/>
    </xf>
    <xf numFmtId="0" fontId="4" fillId="0" borderId="1" xfId="7" applyFont="1" applyFill="1" applyBorder="1" applyAlignment="1">
      <alignment vertical="center"/>
    </xf>
    <xf numFmtId="0" fontId="4" fillId="3" borderId="0" xfId="7" applyFont="1" applyFill="1" applyBorder="1" applyAlignment="1">
      <alignment vertical="center"/>
    </xf>
    <xf numFmtId="0" fontId="84" fillId="0" borderId="0" xfId="0" applyFont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vertical="center"/>
    </xf>
    <xf numFmtId="0" fontId="85" fillId="0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left" vertical="center" wrapText="1"/>
    </xf>
    <xf numFmtId="0" fontId="86" fillId="0" borderId="0" xfId="0" applyFont="1"/>
    <xf numFmtId="0" fontId="87" fillId="0" borderId="0" xfId="0" applyFont="1" applyBorder="1" applyAlignment="1">
      <alignment horizontal="center" vertical="center" wrapText="1"/>
    </xf>
    <xf numFmtId="49" fontId="10" fillId="3" borderId="0" xfId="7" applyNumberFormat="1" applyFont="1" applyFill="1" applyBorder="1" applyAlignment="1">
      <alignment horizontal="left" vertical="top" wrapText="1" indent="1" readingOrder="1"/>
    </xf>
    <xf numFmtId="0" fontId="4" fillId="0" borderId="0" xfId="7" applyFont="1" applyFill="1" applyBorder="1" applyAlignment="1">
      <alignment vertical="center" wrapText="1"/>
    </xf>
    <xf numFmtId="0" fontId="4" fillId="3" borderId="0" xfId="7" applyFont="1" applyFill="1" applyBorder="1" applyAlignment="1">
      <alignment vertical="center" wrapText="1"/>
    </xf>
    <xf numFmtId="0" fontId="9" fillId="0" borderId="0" xfId="7" applyFont="1" applyFill="1" applyBorder="1" applyAlignment="1">
      <alignment horizontal="left" vertical="center"/>
    </xf>
    <xf numFmtId="0" fontId="88" fillId="0" borderId="0" xfId="0" applyFont="1"/>
    <xf numFmtId="0" fontId="88" fillId="0" borderId="0" xfId="0" applyFont="1" applyBorder="1"/>
    <xf numFmtId="0" fontId="89" fillId="0" borderId="0" xfId="0" applyFont="1" applyAlignment="1">
      <alignment vertical="center"/>
    </xf>
    <xf numFmtId="0" fontId="90" fillId="3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14" fillId="0" borderId="0" xfId="7" applyFont="1" applyFill="1" applyBorder="1" applyAlignment="1">
      <alignment horizontal="left" vertical="center"/>
    </xf>
    <xf numFmtId="0" fontId="87" fillId="0" borderId="0" xfId="0" applyFont="1"/>
    <xf numFmtId="0" fontId="14" fillId="0" borderId="0" xfId="7" applyFont="1" applyFill="1" applyBorder="1" applyAlignment="1">
      <alignment vertical="center"/>
    </xf>
    <xf numFmtId="0" fontId="86" fillId="0" borderId="0" xfId="0" applyFont="1" applyAlignment="1">
      <alignment horizontal="center"/>
    </xf>
    <xf numFmtId="0" fontId="86" fillId="0" borderId="0" xfId="0" applyFont="1" applyBorder="1"/>
    <xf numFmtId="0" fontId="91" fillId="3" borderId="1" xfId="0" applyFont="1" applyFill="1" applyBorder="1" applyAlignment="1">
      <alignment horizontal="left" vertical="center" wrapText="1"/>
    </xf>
    <xf numFmtId="0" fontId="4" fillId="3" borderId="2" xfId="7" applyFont="1" applyFill="1" applyBorder="1" applyAlignment="1">
      <alignment vertical="center"/>
    </xf>
    <xf numFmtId="16" fontId="14" fillId="3" borderId="2" xfId="7" applyNumberFormat="1" applyFont="1" applyFill="1" applyBorder="1" applyAlignment="1">
      <alignment vertical="center"/>
    </xf>
    <xf numFmtId="0" fontId="4" fillId="0" borderId="2" xfId="7" applyFont="1" applyFill="1" applyBorder="1" applyAlignment="1">
      <alignment vertical="center"/>
    </xf>
    <xf numFmtId="0" fontId="86" fillId="3" borderId="0" xfId="0" applyFont="1" applyFill="1"/>
    <xf numFmtId="0" fontId="4" fillId="3" borderId="1" xfId="0" applyFont="1" applyFill="1" applyBorder="1" applyAlignment="1">
      <alignment horizontal="left" vertical="center" wrapText="1"/>
    </xf>
    <xf numFmtId="0" fontId="4" fillId="3" borderId="1" xfId="7" applyFont="1" applyFill="1" applyBorder="1" applyAlignment="1">
      <alignment vertical="center" wrapText="1"/>
    </xf>
    <xf numFmtId="0" fontId="92" fillId="0" borderId="0" xfId="0" applyFont="1" applyAlignment="1">
      <alignment horizontal="right"/>
    </xf>
    <xf numFmtId="0" fontId="91" fillId="3" borderId="1" xfId="0" applyFont="1" applyFill="1" applyBorder="1" applyAlignment="1">
      <alignment horizontal="center" vertical="center"/>
    </xf>
    <xf numFmtId="0" fontId="89" fillId="3" borderId="1" xfId="0" applyFont="1" applyFill="1" applyBorder="1" applyAlignment="1">
      <alignment vertical="center"/>
    </xf>
    <xf numFmtId="0" fontId="91" fillId="0" borderId="1" xfId="0" applyFont="1" applyFill="1" applyBorder="1" applyAlignment="1">
      <alignment horizontal="center"/>
    </xf>
    <xf numFmtId="0" fontId="92" fillId="0" borderId="1" xfId="0" applyFont="1" applyFill="1" applyBorder="1" applyAlignment="1">
      <alignment horizontal="center"/>
    </xf>
    <xf numFmtId="0" fontId="93" fillId="0" borderId="1" xfId="0" applyFont="1" applyFill="1" applyBorder="1" applyAlignment="1">
      <alignment horizontal="center"/>
    </xf>
    <xf numFmtId="0" fontId="14" fillId="3" borderId="1" xfId="7" applyNumberFormat="1" applyFont="1" applyFill="1" applyBorder="1" applyAlignment="1">
      <alignment horizontal="center" vertical="center"/>
    </xf>
    <xf numFmtId="0" fontId="8" fillId="4" borderId="1" xfId="7" applyFont="1" applyFill="1" applyBorder="1" applyAlignment="1">
      <alignment vertical="center" wrapText="1"/>
    </xf>
    <xf numFmtId="0" fontId="94" fillId="0" borderId="0" xfId="0" applyFont="1" applyBorder="1"/>
    <xf numFmtId="4" fontId="4" fillId="3" borderId="0" xfId="7" applyNumberFormat="1" applyFont="1" applyFill="1" applyBorder="1" applyAlignment="1">
      <alignment horizontal="center" vertical="center"/>
    </xf>
    <xf numFmtId="4" fontId="86" fillId="0" borderId="0" xfId="0" applyNumberFormat="1" applyFont="1"/>
    <xf numFmtId="4" fontId="14" fillId="3" borderId="1" xfId="7" applyNumberFormat="1" applyFont="1" applyFill="1" applyBorder="1" applyAlignment="1">
      <alignment horizontal="center" vertical="center" wrapText="1"/>
    </xf>
    <xf numFmtId="4" fontId="89" fillId="5" borderId="1" xfId="0" applyNumberFormat="1" applyFont="1" applyFill="1" applyBorder="1"/>
    <xf numFmtId="3" fontId="4" fillId="3" borderId="1" xfId="7" applyNumberFormat="1" applyFont="1" applyFill="1" applyBorder="1" applyAlignment="1">
      <alignment horizontal="center" vertical="center" wrapText="1"/>
    </xf>
    <xf numFmtId="3" fontId="4" fillId="0" borderId="1" xfId="7" applyNumberFormat="1" applyFont="1" applyFill="1" applyBorder="1" applyAlignment="1">
      <alignment horizontal="center" vertical="center"/>
    </xf>
    <xf numFmtId="0" fontId="95" fillId="0" borderId="0" xfId="7" applyFont="1" applyFill="1" applyBorder="1" applyAlignment="1">
      <alignment vertical="center"/>
    </xf>
    <xf numFmtId="0" fontId="88" fillId="0" borderId="0" xfId="0" applyFont="1" applyAlignment="1">
      <alignment horizontal="center"/>
    </xf>
    <xf numFmtId="1" fontId="14" fillId="3" borderId="1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/>
    <xf numFmtId="4" fontId="4" fillId="0" borderId="1" xfId="7" applyNumberFormat="1" applyFont="1" applyFill="1" applyBorder="1" applyAlignment="1" applyProtection="1">
      <alignment horizontal="center" vertical="center"/>
      <protection locked="0"/>
    </xf>
    <xf numFmtId="4" fontId="91" fillId="0" borderId="1" xfId="0" applyNumberFormat="1" applyFont="1" applyBorder="1" applyProtection="1">
      <protection locked="0"/>
    </xf>
    <xf numFmtId="4" fontId="7" fillId="0" borderId="3" xfId="7" applyNumberFormat="1" applyFont="1" applyFill="1" applyBorder="1" applyAlignment="1">
      <alignment horizontal="center" vertical="center" wrapText="1"/>
    </xf>
    <xf numFmtId="4" fontId="7" fillId="0" borderId="4" xfId="7" applyNumberFormat="1" applyFont="1" applyFill="1" applyBorder="1" applyAlignment="1">
      <alignment horizontal="center" vertical="center" wrapText="1"/>
    </xf>
    <xf numFmtId="4" fontId="91" fillId="0" borderId="5" xfId="0" applyNumberFormat="1" applyFont="1" applyBorder="1" applyProtection="1">
      <protection locked="0"/>
    </xf>
    <xf numFmtId="4" fontId="91" fillId="0" borderId="6" xfId="0" applyNumberFormat="1" applyFont="1" applyBorder="1" applyProtection="1">
      <protection locked="0"/>
    </xf>
    <xf numFmtId="4" fontId="91" fillId="0" borderId="7" xfId="0" applyNumberFormat="1" applyFont="1" applyBorder="1" applyProtection="1">
      <protection locked="0"/>
    </xf>
    <xf numFmtId="0" fontId="4" fillId="0" borderId="0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left" vertical="center"/>
    </xf>
    <xf numFmtId="0" fontId="4" fillId="0" borderId="2" xfId="7" applyFont="1" applyFill="1" applyBorder="1" applyAlignment="1">
      <alignment horizontal="center" vertical="center"/>
    </xf>
    <xf numFmtId="0" fontId="4" fillId="0" borderId="8" xfId="7" applyFont="1" applyFill="1" applyBorder="1" applyAlignment="1">
      <alignment horizontal="center" vertical="center"/>
    </xf>
    <xf numFmtId="0" fontId="87" fillId="0" borderId="1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9" xfId="0" applyFont="1" applyBorder="1" applyAlignment="1">
      <alignment horizontal="center" vertical="center" wrapText="1"/>
    </xf>
    <xf numFmtId="0" fontId="87" fillId="0" borderId="0" xfId="0" applyFont="1" applyBorder="1" applyAlignment="1">
      <alignment vertical="center" wrapText="1"/>
    </xf>
    <xf numFmtId="0" fontId="7" fillId="0" borderId="0" xfId="7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right" vertical="center" wrapText="1" indent="1"/>
    </xf>
    <xf numFmtId="0" fontId="7" fillId="0" borderId="0" xfId="7" applyFont="1" applyFill="1" applyBorder="1" applyAlignment="1">
      <alignment horizontal="right" vertical="center" indent="1"/>
    </xf>
    <xf numFmtId="0" fontId="92" fillId="0" borderId="0" xfId="0" applyFont="1" applyBorder="1" applyAlignment="1">
      <alignment horizontal="right"/>
    </xf>
    <xf numFmtId="4" fontId="9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7" applyFont="1" applyFill="1" applyBorder="1" applyAlignment="1">
      <alignment horizontal="center" vertical="center"/>
    </xf>
    <xf numFmtId="16" fontId="89" fillId="0" borderId="0" xfId="0" applyNumberFormat="1" applyFont="1"/>
    <xf numFmtId="0" fontId="86" fillId="0" borderId="0" xfId="0" applyFont="1" applyProtection="1">
      <protection locked="0"/>
    </xf>
    <xf numFmtId="0" fontId="87" fillId="0" borderId="0" xfId="0" applyFont="1" applyProtection="1">
      <protection locked="0"/>
    </xf>
    <xf numFmtId="0" fontId="89" fillId="0" borderId="0" xfId="0" applyFont="1" applyAlignment="1" applyProtection="1">
      <protection locked="0"/>
    </xf>
    <xf numFmtId="0" fontId="4" fillId="0" borderId="0" xfId="7" applyFont="1" applyFill="1" applyBorder="1" applyAlignment="1" applyProtection="1">
      <alignment vertical="center"/>
      <protection locked="0"/>
    </xf>
    <xf numFmtId="0" fontId="95" fillId="0" borderId="0" xfId="7" applyFont="1" applyFill="1" applyBorder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4" fillId="0" borderId="0" xfId="7" applyFont="1" applyFill="1" applyBorder="1" applyAlignment="1" applyProtection="1">
      <alignment vertical="center" wrapText="1"/>
      <protection locked="0"/>
    </xf>
    <xf numFmtId="0" fontId="4" fillId="0" borderId="0" xfId="7" applyFont="1" applyFill="1" applyBorder="1" applyAlignment="1" applyProtection="1">
      <alignment horizontal="center" vertical="center"/>
      <protection locked="0"/>
    </xf>
    <xf numFmtId="0" fontId="4" fillId="3" borderId="0" xfId="7" applyFont="1" applyFill="1" applyBorder="1" applyAlignment="1" applyProtection="1">
      <alignment vertical="center"/>
      <protection locked="0"/>
    </xf>
    <xf numFmtId="0" fontId="87" fillId="0" borderId="1" xfId="0" applyFont="1" applyBorder="1" applyAlignment="1" applyProtection="1">
      <alignment horizontal="center" vertical="center" wrapText="1"/>
      <protection locked="0"/>
    </xf>
    <xf numFmtId="0" fontId="14" fillId="3" borderId="5" xfId="7" applyNumberFormat="1" applyFont="1" applyFill="1" applyBorder="1" applyAlignment="1">
      <alignment horizontal="center" vertical="center"/>
    </xf>
    <xf numFmtId="1" fontId="14" fillId="3" borderId="2" xfId="7" applyNumberFormat="1" applyFont="1" applyFill="1" applyBorder="1" applyAlignment="1">
      <alignment horizontal="center" vertical="center"/>
    </xf>
    <xf numFmtId="3" fontId="91" fillId="3" borderId="1" xfId="0" applyNumberFormat="1" applyFont="1" applyFill="1" applyBorder="1" applyAlignment="1">
      <alignment horizontal="center" vertical="center" wrapText="1"/>
    </xf>
    <xf numFmtId="0" fontId="86" fillId="0" borderId="0" xfId="0" applyFont="1" applyAlignment="1" applyProtection="1">
      <alignment horizontal="center"/>
      <protection locked="0"/>
    </xf>
    <xf numFmtId="0" fontId="86" fillId="3" borderId="0" xfId="0" applyFont="1" applyFill="1" applyProtection="1">
      <protection locked="0"/>
    </xf>
    <xf numFmtId="4" fontId="4" fillId="0" borderId="0" xfId="7" applyNumberFormat="1" applyFont="1" applyFill="1" applyBorder="1" applyAlignment="1" applyProtection="1">
      <alignment vertical="center" wrapText="1"/>
      <protection locked="0"/>
    </xf>
    <xf numFmtId="0" fontId="4" fillId="3" borderId="0" xfId="7" applyFont="1" applyFill="1" applyBorder="1" applyAlignment="1" applyProtection="1">
      <alignment horizontal="center" vertical="center" wrapText="1"/>
      <protection locked="0"/>
    </xf>
    <xf numFmtId="0" fontId="95" fillId="0" borderId="0" xfId="7" applyFont="1" applyFill="1" applyBorder="1" applyAlignment="1" applyProtection="1">
      <alignment vertical="center" wrapText="1"/>
      <protection locked="0"/>
    </xf>
    <xf numFmtId="4" fontId="86" fillId="0" borderId="0" xfId="0" applyNumberFormat="1" applyFont="1" applyProtection="1">
      <protection locked="0"/>
    </xf>
    <xf numFmtId="0" fontId="88" fillId="0" borderId="0" xfId="0" applyFont="1" applyProtection="1">
      <protection locked="0"/>
    </xf>
    <xf numFmtId="4" fontId="4" fillId="6" borderId="1" xfId="7" applyNumberFormat="1" applyFont="1" applyFill="1" applyBorder="1" applyAlignment="1" applyProtection="1">
      <alignment horizontal="center" vertical="center"/>
    </xf>
    <xf numFmtId="181" fontId="7" fillId="6" borderId="1" xfId="7" applyNumberFormat="1" applyFont="1" applyFill="1" applyBorder="1" applyAlignment="1" applyProtection="1">
      <alignment horizontal="right" vertical="center"/>
    </xf>
    <xf numFmtId="181" fontId="7" fillId="6" borderId="6" xfId="7" applyNumberFormat="1" applyFont="1" applyFill="1" applyBorder="1" applyAlignment="1" applyProtection="1">
      <alignment horizontal="right" vertical="center"/>
    </xf>
    <xf numFmtId="181" fontId="7" fillId="6" borderId="5" xfId="7" applyNumberFormat="1" applyFont="1" applyFill="1" applyBorder="1" applyAlignment="1" applyProtection="1">
      <alignment horizontal="right" vertical="center"/>
    </xf>
    <xf numFmtId="4" fontId="91" fillId="6" borderId="1" xfId="0" applyNumberFormat="1" applyFont="1" applyFill="1" applyBorder="1"/>
    <xf numFmtId="0" fontId="4" fillId="0" borderId="0" xfId="7" applyFont="1" applyFill="1" applyBorder="1" applyAlignment="1" applyProtection="1">
      <alignment vertical="center"/>
    </xf>
    <xf numFmtId="0" fontId="95" fillId="0" borderId="0" xfId="7" applyFont="1" applyFill="1" applyBorder="1" applyAlignment="1" applyProtection="1">
      <alignment vertical="center"/>
    </xf>
    <xf numFmtId="0" fontId="4" fillId="3" borderId="0" xfId="7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  <protection locked="0"/>
    </xf>
    <xf numFmtId="0" fontId="14" fillId="0" borderId="0" xfId="7" applyFont="1" applyFill="1" applyBorder="1" applyAlignment="1" applyProtection="1">
      <alignment horizontal="left" vertical="center"/>
      <protection locked="0"/>
    </xf>
    <xf numFmtId="0" fontId="4" fillId="0" borderId="0" xfId="7" applyFont="1" applyFill="1" applyBorder="1" applyAlignment="1" applyProtection="1">
      <alignment horizontal="left" vertical="center"/>
      <protection locked="0"/>
    </xf>
    <xf numFmtId="0" fontId="95" fillId="3" borderId="0" xfId="7" applyFont="1" applyFill="1" applyBorder="1" applyAlignment="1" applyProtection="1">
      <alignment vertical="center"/>
      <protection locked="0"/>
    </xf>
    <xf numFmtId="0" fontId="14" fillId="0" borderId="0" xfId="7" applyFont="1" applyFill="1" applyBorder="1" applyAlignment="1" applyProtection="1">
      <alignment vertical="center"/>
    </xf>
    <xf numFmtId="0" fontId="4" fillId="0" borderId="0" xfId="7" applyFont="1" applyFill="1" applyBorder="1" applyAlignment="1" applyProtection="1">
      <alignment horizontal="left" vertical="center"/>
    </xf>
    <xf numFmtId="0" fontId="4" fillId="0" borderId="0" xfId="7" applyFont="1" applyFill="1" applyBorder="1" applyAlignment="1" applyProtection="1">
      <alignment horizontal="center" vertical="center"/>
    </xf>
    <xf numFmtId="0" fontId="4" fillId="3" borderId="0" xfId="7" applyFont="1" applyFill="1" applyBorder="1" applyAlignment="1" applyProtection="1">
      <alignment vertical="center"/>
    </xf>
    <xf numFmtId="0" fontId="4" fillId="3" borderId="0" xfId="7" applyFont="1" applyFill="1" applyBorder="1" applyAlignment="1" applyProtection="1">
      <alignment vertical="center" wrapText="1"/>
    </xf>
    <xf numFmtId="0" fontId="4" fillId="0" borderId="0" xfId="7" applyFont="1" applyFill="1" applyBorder="1" applyAlignment="1" applyProtection="1">
      <alignment vertical="center" wrapText="1"/>
    </xf>
    <xf numFmtId="0" fontId="0" fillId="0" borderId="0" xfId="0" applyBorder="1"/>
    <xf numFmtId="4" fontId="91" fillId="3" borderId="1" xfId="0" applyNumberFormat="1" applyFont="1" applyFill="1" applyBorder="1" applyProtection="1">
      <protection locked="0"/>
    </xf>
    <xf numFmtId="4" fontId="96" fillId="4" borderId="1" xfId="0" applyNumberFormat="1" applyFont="1" applyFill="1" applyBorder="1"/>
    <xf numFmtId="4" fontId="87" fillId="0" borderId="1" xfId="0" applyNumberFormat="1" applyFont="1" applyBorder="1" applyProtection="1">
      <protection locked="0"/>
    </xf>
    <xf numFmtId="49" fontId="14" fillId="3" borderId="1" xfId="7" applyNumberFormat="1" applyFont="1" applyFill="1" applyBorder="1" applyAlignment="1">
      <alignment horizontal="center" vertical="center"/>
    </xf>
    <xf numFmtId="0" fontId="91" fillId="3" borderId="1" xfId="0" applyFont="1" applyFill="1" applyBorder="1" applyAlignment="1">
      <alignment horizontal="left"/>
    </xf>
    <xf numFmtId="0" fontId="91" fillId="3" borderId="1" xfId="0" applyFont="1" applyFill="1" applyBorder="1" applyAlignment="1">
      <alignment horizontal="center"/>
    </xf>
    <xf numFmtId="0" fontId="87" fillId="3" borderId="1" xfId="0" applyFont="1" applyFill="1" applyBorder="1" applyAlignment="1">
      <alignment horizontal="right" vertical="center" wrapText="1"/>
    </xf>
    <xf numFmtId="0" fontId="87" fillId="3" borderId="1" xfId="0" applyFont="1" applyFill="1" applyBorder="1" applyAlignment="1" applyProtection="1">
      <alignment vertical="center" wrapText="1"/>
      <protection locked="0"/>
    </xf>
    <xf numFmtId="0" fontId="92" fillId="3" borderId="0" xfId="0" applyFont="1" applyFill="1" applyAlignment="1">
      <alignment horizontal="right"/>
    </xf>
    <xf numFmtId="0" fontId="87" fillId="3" borderId="0" xfId="0" applyFont="1" applyFill="1" applyProtection="1">
      <protection locked="0"/>
    </xf>
    <xf numFmtId="4" fontId="87" fillId="3" borderId="1" xfId="0" applyNumberFormat="1" applyFont="1" applyFill="1" applyBorder="1" applyProtection="1">
      <protection locked="0"/>
    </xf>
    <xf numFmtId="0" fontId="91" fillId="5" borderId="2" xfId="0" applyFont="1" applyFill="1" applyBorder="1" applyAlignment="1">
      <alignment horizontal="left"/>
    </xf>
    <xf numFmtId="0" fontId="8" fillId="5" borderId="1" xfId="7" applyFont="1" applyFill="1" applyBorder="1" applyAlignment="1">
      <alignment vertical="center" wrapText="1"/>
    </xf>
    <xf numFmtId="0" fontId="86" fillId="3" borderId="0" xfId="0" applyFont="1" applyFill="1" applyBorder="1"/>
    <xf numFmtId="0" fontId="14" fillId="0" borderId="2" xfId="7" applyFont="1" applyFill="1" applyBorder="1" applyAlignment="1">
      <alignment horizontal="center" vertical="center"/>
    </xf>
    <xf numFmtId="0" fontId="4" fillId="0" borderId="1" xfId="7" applyFont="1" applyFill="1" applyBorder="1" applyAlignment="1" applyProtection="1">
      <alignment horizontal="center" vertical="center" wrapText="1"/>
      <protection locked="0"/>
    </xf>
    <xf numFmtId="182" fontId="8" fillId="3" borderId="0" xfId="7" applyNumberFormat="1" applyFont="1" applyFill="1" applyBorder="1" applyAlignment="1">
      <alignment horizontal="center" vertical="center"/>
    </xf>
    <xf numFmtId="182" fontId="10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4" fillId="3" borderId="0" xfId="7" applyFont="1" applyFill="1" applyBorder="1" applyAlignment="1">
      <alignment horizontal="center" vertical="center"/>
    </xf>
    <xf numFmtId="0" fontId="95" fillId="3" borderId="0" xfId="7" applyFont="1" applyFill="1" applyBorder="1" applyAlignment="1">
      <alignment vertical="center"/>
    </xf>
    <xf numFmtId="0" fontId="7" fillId="0" borderId="0" xfId="7" applyFont="1" applyFill="1" applyBorder="1" applyAlignment="1" applyProtection="1">
      <alignment vertical="center"/>
      <protection locked="0"/>
    </xf>
    <xf numFmtId="0" fontId="7" fillId="3" borderId="0" xfId="7" applyFont="1" applyFill="1" applyBorder="1" applyAlignment="1" applyProtection="1">
      <alignment vertical="center"/>
      <protection locked="0"/>
    </xf>
    <xf numFmtId="0" fontId="7" fillId="3" borderId="0" xfId="7" applyFont="1" applyFill="1" applyBorder="1" applyAlignment="1">
      <alignment vertical="center"/>
    </xf>
    <xf numFmtId="0" fontId="87" fillId="0" borderId="1" xfId="0" applyFont="1" applyBorder="1" applyAlignment="1">
      <alignment horizontal="center" vertical="center" wrapText="1"/>
    </xf>
    <xf numFmtId="0" fontId="7" fillId="0" borderId="0" xfId="7" applyFont="1" applyFill="1" applyBorder="1" applyAlignment="1">
      <alignment horizontal="right" vertical="center"/>
    </xf>
    <xf numFmtId="0" fontId="87" fillId="0" borderId="0" xfId="0" applyFont="1" applyFill="1" applyBorder="1" applyAlignment="1">
      <alignment vertical="center" wrapText="1"/>
    </xf>
    <xf numFmtId="0" fontId="7" fillId="0" borderId="0" xfId="7" applyFont="1" applyFill="1" applyBorder="1" applyAlignment="1">
      <alignment vertical="center"/>
    </xf>
    <xf numFmtId="0" fontId="92" fillId="0" borderId="0" xfId="0" applyFont="1" applyBorder="1" applyAlignment="1">
      <alignment horizontal="right" vertical="center"/>
    </xf>
    <xf numFmtId="183" fontId="97" fillId="3" borderId="0" xfId="7" applyNumberFormat="1" applyFont="1" applyFill="1" applyBorder="1" applyAlignment="1" applyProtection="1">
      <alignment vertical="center"/>
      <protection locked="0"/>
    </xf>
    <xf numFmtId="4" fontId="8" fillId="3" borderId="0" xfId="7" applyNumberFormat="1" applyFont="1" applyFill="1" applyBorder="1" applyAlignment="1" applyProtection="1">
      <alignment horizontal="center" vertical="center"/>
      <protection locked="0"/>
    </xf>
    <xf numFmtId="4" fontId="8" fillId="3" borderId="0" xfId="7" applyNumberFormat="1" applyFont="1" applyFill="1" applyBorder="1" applyAlignment="1">
      <alignment horizontal="center" vertical="center"/>
    </xf>
    <xf numFmtId="0" fontId="10" fillId="3" borderId="10" xfId="7" applyFont="1" applyFill="1" applyBorder="1" applyAlignment="1">
      <alignment horizontal="center" vertical="center" wrapText="1"/>
    </xf>
    <xf numFmtId="0" fontId="10" fillId="3" borderId="11" xfId="7" applyFont="1" applyFill="1" applyBorder="1" applyAlignment="1">
      <alignment horizontal="center" vertical="center" wrapText="1"/>
    </xf>
    <xf numFmtId="0" fontId="91" fillId="0" borderId="5" xfId="0" applyFont="1" applyBorder="1" applyAlignment="1">
      <alignment horizontal="center" vertical="center" wrapText="1"/>
    </xf>
    <xf numFmtId="4" fontId="91" fillId="5" borderId="1" xfId="0" applyNumberFormat="1" applyFont="1" applyFill="1" applyBorder="1"/>
    <xf numFmtId="181" fontId="7" fillId="3" borderId="0" xfId="7" applyNumberFormat="1" applyFont="1" applyFill="1" applyBorder="1" applyAlignment="1" applyProtection="1">
      <alignment horizontal="right" vertical="center"/>
    </xf>
    <xf numFmtId="3" fontId="4" fillId="3" borderId="0" xfId="7" applyNumberFormat="1" applyFont="1" applyFill="1" applyBorder="1" applyAlignment="1">
      <alignment horizontal="center" vertical="center" wrapText="1"/>
    </xf>
    <xf numFmtId="4" fontId="89" fillId="3" borderId="0" xfId="0" applyNumberFormat="1" applyFont="1" applyFill="1" applyBorder="1"/>
    <xf numFmtId="4" fontId="91" fillId="3" borderId="0" xfId="0" applyNumberFormat="1" applyFont="1" applyFill="1" applyBorder="1" applyProtection="1">
      <protection locked="0"/>
    </xf>
    <xf numFmtId="4" fontId="91" fillId="3" borderId="0" xfId="0" applyNumberFormat="1" applyFont="1" applyFill="1" applyBorder="1" applyAlignment="1">
      <alignment horizontal="center"/>
    </xf>
    <xf numFmtId="4" fontId="91" fillId="3" borderId="0" xfId="0" applyNumberFormat="1" applyFont="1" applyFill="1" applyBorder="1" applyAlignment="1" applyProtection="1">
      <alignment horizontal="center"/>
      <protection locked="0"/>
    </xf>
    <xf numFmtId="4" fontId="89" fillId="3" borderId="0" xfId="0" applyNumberFormat="1" applyFont="1" applyFill="1" applyBorder="1" applyProtection="1">
      <protection locked="0"/>
    </xf>
    <xf numFmtId="4" fontId="89" fillId="3" borderId="0" xfId="0" applyNumberFormat="1" applyFont="1" applyFill="1" applyBorder="1" applyAlignment="1">
      <alignment horizontal="center"/>
    </xf>
    <xf numFmtId="0" fontId="4" fillId="3" borderId="0" xfId="7" applyFont="1" applyFill="1" applyBorder="1" applyAlignment="1">
      <alignment horizontal="center" vertical="center" wrapText="1"/>
    </xf>
    <xf numFmtId="4" fontId="7" fillId="3" borderId="0" xfId="7" applyNumberFormat="1" applyFont="1" applyFill="1" applyBorder="1" applyAlignment="1">
      <alignment horizontal="center" vertical="center" wrapText="1"/>
    </xf>
    <xf numFmtId="4" fontId="4" fillId="3" borderId="0" xfId="7" applyNumberFormat="1" applyFont="1" applyFill="1" applyBorder="1" applyAlignment="1">
      <alignment horizontal="right" vertical="center" indent="1"/>
    </xf>
    <xf numFmtId="181" fontId="92" fillId="3" borderId="0" xfId="0" applyNumberFormat="1" applyFont="1" applyFill="1" applyBorder="1"/>
    <xf numFmtId="181" fontId="92" fillId="3" borderId="0" xfId="0" applyNumberFormat="1" applyFont="1" applyFill="1" applyBorder="1" applyAlignment="1">
      <alignment horizontal="center"/>
    </xf>
    <xf numFmtId="0" fontId="89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182" fontId="91" fillId="0" borderId="0" xfId="0" applyNumberFormat="1" applyFont="1" applyFill="1" applyBorder="1" applyProtection="1">
      <protection locked="0"/>
    </xf>
    <xf numFmtId="0" fontId="86" fillId="0" borderId="0" xfId="0" applyFont="1" applyBorder="1" applyProtection="1">
      <protection locked="0"/>
    </xf>
    <xf numFmtId="0" fontId="19" fillId="0" borderId="0" xfId="0" applyFont="1" applyFill="1" applyBorder="1"/>
    <xf numFmtId="0" fontId="86" fillId="0" borderId="0" xfId="0" applyFont="1" applyFill="1" applyBorder="1" applyProtection="1">
      <protection locked="0"/>
    </xf>
    <xf numFmtId="0" fontId="19" fillId="3" borderId="0" xfId="0" applyFont="1" applyFill="1" applyBorder="1" applyProtection="1">
      <protection locked="0"/>
    </xf>
    <xf numFmtId="0" fontId="86" fillId="3" borderId="0" xfId="0" applyFont="1" applyFill="1" applyBorder="1" applyProtection="1">
      <protection locked="0"/>
    </xf>
    <xf numFmtId="0" fontId="98" fillId="0" borderId="0" xfId="7" applyFont="1" applyFill="1" applyBorder="1" applyAlignment="1">
      <alignment vertical="center"/>
    </xf>
    <xf numFmtId="182" fontId="91" fillId="0" borderId="0" xfId="0" applyNumberFormat="1" applyFont="1" applyFill="1" applyBorder="1" applyProtection="1"/>
    <xf numFmtId="0" fontId="99" fillId="0" borderId="0" xfId="7" applyFont="1" applyFill="1" applyBorder="1" applyAlignment="1">
      <alignment horizontal="left" vertical="center" wrapText="1"/>
    </xf>
    <xf numFmtId="4" fontId="97" fillId="0" borderId="0" xfId="7" applyNumberFormat="1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 applyProtection="1">
      <alignment wrapText="1"/>
      <protection locked="0"/>
    </xf>
    <xf numFmtId="182" fontId="86" fillId="0" borderId="0" xfId="0" applyNumberFormat="1" applyFont="1" applyFill="1" applyBorder="1" applyProtection="1">
      <protection locked="0"/>
    </xf>
    <xf numFmtId="182" fontId="91" fillId="3" borderId="0" xfId="0" applyNumberFormat="1" applyFont="1" applyFill="1" applyBorder="1" applyProtection="1">
      <protection locked="0"/>
    </xf>
    <xf numFmtId="0" fontId="99" fillId="3" borderId="0" xfId="7" applyFont="1" applyFill="1" applyBorder="1" applyAlignment="1">
      <alignment vertical="center" wrapText="1"/>
    </xf>
    <xf numFmtId="4" fontId="4" fillId="6" borderId="12" xfId="7" applyNumberFormat="1" applyFont="1" applyFill="1" applyBorder="1" applyAlignment="1">
      <alignment horizontal="center" vertical="center" wrapText="1"/>
    </xf>
    <xf numFmtId="181" fontId="4" fillId="6" borderId="12" xfId="7" applyNumberFormat="1" applyFont="1" applyFill="1" applyBorder="1" applyAlignment="1" applyProtection="1">
      <alignment horizontal="right" vertical="center"/>
    </xf>
    <xf numFmtId="4" fontId="8" fillId="6" borderId="3" xfId="7" applyNumberFormat="1" applyFont="1" applyFill="1" applyBorder="1" applyAlignment="1">
      <alignment horizontal="center" vertical="center"/>
    </xf>
    <xf numFmtId="181" fontId="7" fillId="6" borderId="3" xfId="7" applyNumberFormat="1" applyFont="1" applyFill="1" applyBorder="1" applyAlignment="1" applyProtection="1">
      <alignment horizontal="right" vertical="center"/>
    </xf>
    <xf numFmtId="181" fontId="7" fillId="6" borderId="4" xfId="7" applyNumberFormat="1" applyFont="1" applyFill="1" applyBorder="1" applyAlignment="1" applyProtection="1">
      <alignment horizontal="right" vertical="center"/>
    </xf>
    <xf numFmtId="4" fontId="4" fillId="0" borderId="6" xfId="7" applyNumberFormat="1" applyFont="1" applyFill="1" applyBorder="1" applyAlignment="1" applyProtection="1">
      <alignment horizontal="center" vertical="center"/>
      <protection locked="0"/>
    </xf>
    <xf numFmtId="49" fontId="4" fillId="3" borderId="13" xfId="7" applyNumberFormat="1" applyFont="1" applyFill="1" applyBorder="1" applyAlignment="1">
      <alignment horizontal="left" vertical="center"/>
    </xf>
    <xf numFmtId="4" fontId="91" fillId="0" borderId="12" xfId="0" applyNumberFormat="1" applyFont="1" applyBorder="1" applyProtection="1">
      <protection locked="0"/>
    </xf>
    <xf numFmtId="16" fontId="24" fillId="3" borderId="14" xfId="7" applyNumberFormat="1" applyFont="1" applyFill="1" applyBorder="1" applyAlignment="1">
      <alignment horizontal="left" wrapText="1" indent="2"/>
    </xf>
    <xf numFmtId="4" fontId="4" fillId="0" borderId="6" xfId="0" applyNumberFormat="1" applyFont="1" applyBorder="1" applyProtection="1">
      <protection locked="0"/>
    </xf>
    <xf numFmtId="16" fontId="14" fillId="3" borderId="2" xfId="7" applyNumberFormat="1" applyFont="1" applyFill="1" applyBorder="1" applyAlignment="1">
      <alignment horizontal="left" vertical="center" indent="2"/>
    </xf>
    <xf numFmtId="16" fontId="14" fillId="3" borderId="8" xfId="7" applyNumberFormat="1" applyFont="1" applyFill="1" applyBorder="1" applyAlignment="1">
      <alignment horizontal="left" vertical="center" indent="2"/>
    </xf>
    <xf numFmtId="16" fontId="14" fillId="3" borderId="15" xfId="7" applyNumberFormat="1" applyFont="1" applyFill="1" applyBorder="1" applyAlignment="1">
      <alignment horizontal="left" vertical="center" indent="2"/>
    </xf>
    <xf numFmtId="4" fontId="89" fillId="3" borderId="16" xfId="0" applyNumberFormat="1" applyFont="1" applyFill="1" applyBorder="1" applyProtection="1">
      <protection locked="0"/>
    </xf>
    <xf numFmtId="0" fontId="91" fillId="6" borderId="6" xfId="0" applyFont="1" applyFill="1" applyBorder="1" applyAlignment="1">
      <alignment horizontal="center"/>
    </xf>
    <xf numFmtId="0" fontId="91" fillId="3" borderId="6" xfId="0" applyFont="1" applyFill="1" applyBorder="1" applyAlignment="1">
      <alignment horizontal="center"/>
    </xf>
    <xf numFmtId="0" fontId="89" fillId="0" borderId="16" xfId="0" applyFont="1" applyFill="1" applyBorder="1" applyAlignment="1">
      <alignment horizontal="center"/>
    </xf>
    <xf numFmtId="0" fontId="100" fillId="0" borderId="3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/>
    </xf>
    <xf numFmtId="0" fontId="7" fillId="3" borderId="0" xfId="7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center"/>
    </xf>
    <xf numFmtId="0" fontId="8" fillId="0" borderId="0" xfId="7" applyFont="1" applyFill="1" applyBorder="1" applyAlignment="1">
      <alignment vertical="center"/>
    </xf>
    <xf numFmtId="182" fontId="89" fillId="3" borderId="0" xfId="0" applyNumberFormat="1" applyFont="1" applyFill="1" applyBorder="1" applyProtection="1">
      <protection locked="0"/>
    </xf>
    <xf numFmtId="0" fontId="8" fillId="3" borderId="0" xfId="7" applyFont="1" applyFill="1" applyBorder="1" applyAlignment="1">
      <alignment vertical="center"/>
    </xf>
    <xf numFmtId="0" fontId="19" fillId="3" borderId="0" xfId="0" applyFont="1" applyFill="1"/>
    <xf numFmtId="0" fontId="92" fillId="0" borderId="0" xfId="0" applyFont="1"/>
    <xf numFmtId="0" fontId="87" fillId="0" borderId="0" xfId="0" applyFont="1" applyFill="1" applyBorder="1" applyAlignment="1">
      <alignment horizontal="right" vertical="center" wrapText="1"/>
    </xf>
    <xf numFmtId="0" fontId="101" fillId="0" borderId="0" xfId="0" applyFont="1" applyBorder="1" applyAlignment="1">
      <alignment horizontal="left" vertical="center" wrapText="1"/>
    </xf>
    <xf numFmtId="0" fontId="101" fillId="0" borderId="0" xfId="0" applyFont="1" applyBorder="1" applyAlignment="1" applyProtection="1">
      <alignment horizontal="center" vertical="center" wrapText="1"/>
      <protection locked="0"/>
    </xf>
    <xf numFmtId="0" fontId="8" fillId="0" borderId="2" xfId="7" applyFont="1" applyFill="1" applyBorder="1" applyAlignment="1">
      <alignment vertical="center"/>
    </xf>
    <xf numFmtId="182" fontId="8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7" applyFont="1" applyFill="1" applyBorder="1" applyAlignment="1">
      <alignment horizontal="center" vertical="center"/>
    </xf>
    <xf numFmtId="49" fontId="4" fillId="3" borderId="18" xfId="7" applyNumberFormat="1" applyFont="1" applyFill="1" applyBorder="1" applyAlignment="1">
      <alignment horizontal="center" vertical="center"/>
    </xf>
    <xf numFmtId="3" fontId="4" fillId="0" borderId="10" xfId="7" applyNumberFormat="1" applyFont="1" applyFill="1" applyBorder="1" applyAlignment="1">
      <alignment horizontal="center" vertical="center" wrapText="1"/>
    </xf>
    <xf numFmtId="3" fontId="4" fillId="0" borderId="11" xfId="7" applyNumberFormat="1" applyFont="1" applyFill="1" applyBorder="1" applyAlignment="1">
      <alignment horizontal="center" vertical="center" wrapText="1"/>
    </xf>
    <xf numFmtId="0" fontId="7" fillId="3" borderId="0" xfId="7" applyFont="1" applyFill="1" applyBorder="1" applyAlignment="1" applyProtection="1">
      <alignment horizontal="left" vertical="top"/>
      <protection locked="0"/>
    </xf>
    <xf numFmtId="4" fontId="91" fillId="3" borderId="0" xfId="0" applyNumberFormat="1" applyFont="1" applyFill="1" applyBorder="1" applyAlignment="1">
      <alignment horizontal="right"/>
    </xf>
    <xf numFmtId="4" fontId="91" fillId="3" borderId="0" xfId="0" applyNumberFormat="1" applyFont="1" applyFill="1" applyBorder="1" applyAlignment="1" applyProtection="1">
      <alignment horizontal="right"/>
      <protection locked="0"/>
    </xf>
    <xf numFmtId="4" fontId="91" fillId="0" borderId="1" xfId="7" applyNumberFormat="1" applyFont="1" applyFill="1" applyBorder="1" applyAlignment="1" applyProtection="1">
      <alignment horizontal="center" vertical="center"/>
      <protection locked="0"/>
    </xf>
    <xf numFmtId="0" fontId="87" fillId="0" borderId="1" xfId="0" applyFont="1" applyBorder="1" applyAlignment="1" applyProtection="1">
      <alignment vertical="center" wrapText="1"/>
      <protection locked="0"/>
    </xf>
    <xf numFmtId="180" fontId="102" fillId="0" borderId="2" xfId="0" applyNumberFormat="1" applyFont="1" applyFill="1" applyBorder="1" applyAlignment="1" applyProtection="1">
      <alignment horizontal="center"/>
    </xf>
    <xf numFmtId="180" fontId="102" fillId="0" borderId="1" xfId="0" applyNumberFormat="1" applyFont="1" applyFill="1" applyBorder="1" applyAlignment="1" applyProtection="1">
      <alignment horizontal="center"/>
    </xf>
    <xf numFmtId="182" fontId="92" fillId="3" borderId="0" xfId="0" applyNumberFormat="1" applyFont="1" applyFill="1" applyBorder="1" applyAlignment="1" applyProtection="1"/>
    <xf numFmtId="0" fontId="86" fillId="3" borderId="0" xfId="0" applyFont="1" applyFill="1" applyBorder="1" applyProtection="1"/>
    <xf numFmtId="182" fontId="92" fillId="3" borderId="0" xfId="0" applyNumberFormat="1" applyFont="1" applyFill="1" applyBorder="1" applyAlignment="1" applyProtection="1">
      <alignment horizontal="right"/>
    </xf>
    <xf numFmtId="182" fontId="91" fillId="3" borderId="0" xfId="0" applyNumberFormat="1" applyFont="1" applyFill="1" applyBorder="1" applyProtection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4" fontId="10" fillId="3" borderId="0" xfId="7" applyNumberFormat="1" applyFont="1" applyFill="1" applyBorder="1" applyAlignment="1" applyProtection="1">
      <alignment horizontal="center" vertical="center" wrapText="1"/>
    </xf>
    <xf numFmtId="0" fontId="91" fillId="0" borderId="0" xfId="0" applyFont="1" applyBorder="1" applyAlignment="1">
      <alignment vertical="center" wrapText="1"/>
    </xf>
    <xf numFmtId="4" fontId="4" fillId="3" borderId="7" xfId="7" applyNumberFormat="1" applyFont="1" applyFill="1" applyBorder="1" applyAlignment="1" applyProtection="1">
      <alignment horizontal="center" vertical="center" wrapText="1"/>
    </xf>
    <xf numFmtId="4" fontId="4" fillId="3" borderId="8" xfId="7" applyNumberFormat="1" applyFont="1" applyFill="1" applyBorder="1" applyAlignment="1" applyProtection="1">
      <alignment horizontal="center" vertical="center" wrapText="1"/>
    </xf>
    <xf numFmtId="0" fontId="91" fillId="3" borderId="0" xfId="0" applyFont="1" applyFill="1" applyAlignment="1">
      <alignment wrapText="1"/>
    </xf>
    <xf numFmtId="0" fontId="7" fillId="0" borderId="0" xfId="7" applyFont="1" applyFill="1" applyBorder="1" applyAlignment="1" applyProtection="1">
      <alignment vertical="center"/>
    </xf>
    <xf numFmtId="0" fontId="91" fillId="0" borderId="0" xfId="0" applyFont="1" applyBorder="1" applyAlignment="1">
      <alignment horizontal="center"/>
    </xf>
    <xf numFmtId="4" fontId="91" fillId="0" borderId="0" xfId="0" applyNumberFormat="1" applyFont="1" applyBorder="1" applyAlignment="1">
      <alignment horizontal="center"/>
    </xf>
    <xf numFmtId="0" fontId="8" fillId="3" borderId="0" xfId="7" applyFont="1" applyFill="1" applyBorder="1" applyAlignment="1">
      <alignment horizontal="left" vertical="center" wrapText="1"/>
    </xf>
    <xf numFmtId="0" fontId="86" fillId="0" borderId="0" xfId="0" applyFont="1" applyFill="1" applyBorder="1" applyAlignment="1" applyProtection="1">
      <alignment vertical="center" wrapText="1"/>
    </xf>
    <xf numFmtId="0" fontId="87" fillId="0" borderId="3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/>
    </xf>
    <xf numFmtId="4" fontId="4" fillId="3" borderId="0" xfId="7" applyNumberFormat="1" applyFont="1" applyFill="1" applyBorder="1" applyAlignment="1" applyProtection="1">
      <alignment vertical="center" wrapText="1"/>
    </xf>
    <xf numFmtId="180" fontId="102" fillId="3" borderId="0" xfId="0" applyNumberFormat="1" applyFont="1" applyFill="1" applyBorder="1" applyAlignment="1" applyProtection="1">
      <alignment horizontal="center"/>
    </xf>
    <xf numFmtId="0" fontId="86" fillId="3" borderId="0" xfId="0" applyFont="1" applyFill="1" applyBorder="1" applyAlignment="1" applyProtection="1">
      <alignment vertical="center" wrapText="1"/>
    </xf>
    <xf numFmtId="0" fontId="86" fillId="3" borderId="0" xfId="0" applyFont="1" applyFill="1" applyBorder="1" applyAlignment="1" applyProtection="1">
      <alignment horizontal="center" vertical="center" wrapText="1"/>
      <protection locked="0"/>
    </xf>
    <xf numFmtId="0" fontId="86" fillId="3" borderId="0" xfId="0" applyFont="1" applyFill="1" applyBorder="1" applyAlignment="1" applyProtection="1">
      <alignment horizontal="center" wrapText="1"/>
      <protection locked="0"/>
    </xf>
    <xf numFmtId="180" fontId="103" fillId="7" borderId="1" xfId="0" applyNumberFormat="1" applyFont="1" applyFill="1" applyBorder="1" applyAlignment="1" applyProtection="1">
      <alignment horizontal="center"/>
    </xf>
    <xf numFmtId="180" fontId="103" fillId="7" borderId="2" xfId="0" applyNumberFormat="1" applyFont="1" applyFill="1" applyBorder="1" applyAlignment="1" applyProtection="1">
      <alignment horizontal="center"/>
    </xf>
    <xf numFmtId="180" fontId="104" fillId="0" borderId="1" xfId="0" applyNumberFormat="1" applyFont="1" applyFill="1" applyBorder="1" applyAlignment="1" applyProtection="1">
      <alignment horizontal="center" vertical="center" wrapText="1"/>
    </xf>
    <xf numFmtId="0" fontId="4" fillId="3" borderId="15" xfId="7" applyFont="1" applyFill="1" applyBorder="1" applyAlignment="1">
      <alignment horizontal="center" vertical="center"/>
    </xf>
    <xf numFmtId="4" fontId="4" fillId="3" borderId="0" xfId="7" applyNumberFormat="1" applyFont="1" applyFill="1" applyBorder="1" applyAlignment="1" applyProtection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4" fontId="4" fillId="0" borderId="0" xfId="7" applyNumberFormat="1" applyFont="1" applyFill="1" applyBorder="1" applyAlignment="1">
      <alignment horizontal="center" vertical="center"/>
    </xf>
    <xf numFmtId="3" fontId="104" fillId="0" borderId="18" xfId="0" applyNumberFormat="1" applyFont="1" applyFill="1" applyBorder="1" applyAlignment="1" applyProtection="1">
      <alignment vertical="center"/>
    </xf>
    <xf numFmtId="182" fontId="4" fillId="0" borderId="0" xfId="7" applyNumberFormat="1" applyFont="1" applyFill="1" applyBorder="1" applyAlignment="1" applyProtection="1">
      <alignment horizontal="center" vertical="center" wrapText="1"/>
    </xf>
    <xf numFmtId="0" fontId="105" fillId="0" borderId="0" xfId="0" applyFont="1"/>
    <xf numFmtId="0" fontId="10" fillId="3" borderId="0" xfId="0" applyFont="1" applyFill="1" applyAlignment="1" applyProtection="1">
      <alignment wrapText="1"/>
      <protection locked="0"/>
    </xf>
    <xf numFmtId="0" fontId="4" fillId="3" borderId="19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8" xfId="7" applyFont="1" applyFill="1" applyBorder="1" applyAlignment="1">
      <alignment vertical="center"/>
    </xf>
    <xf numFmtId="0" fontId="91" fillId="3" borderId="1" xfId="0" applyFont="1" applyFill="1" applyBorder="1" applyAlignment="1">
      <alignment horizontal="center" vertical="center" wrapText="1"/>
    </xf>
    <xf numFmtId="4" fontId="4" fillId="3" borderId="1" xfId="7" applyNumberFormat="1" applyFont="1" applyFill="1" applyBorder="1" applyAlignment="1">
      <alignment horizontal="center" vertical="center" wrapText="1"/>
    </xf>
    <xf numFmtId="0" fontId="4" fillId="3" borderId="10" xfId="7" applyFont="1" applyFill="1" applyBorder="1" applyAlignment="1">
      <alignment horizontal="center" vertical="center" wrapText="1"/>
    </xf>
    <xf numFmtId="49" fontId="4" fillId="3" borderId="14" xfId="7" applyNumberFormat="1" applyFont="1" applyFill="1" applyBorder="1" applyAlignment="1">
      <alignment horizontal="center" vertical="center"/>
    </xf>
    <xf numFmtId="0" fontId="4" fillId="3" borderId="3" xfId="7" applyFont="1" applyFill="1" applyBorder="1" applyAlignment="1">
      <alignment horizontal="center" vertical="center" wrapText="1"/>
    </xf>
    <xf numFmtId="0" fontId="4" fillId="3" borderId="20" xfId="7" applyFont="1" applyFill="1" applyBorder="1" applyAlignment="1">
      <alignment horizontal="center" vertical="center" wrapText="1"/>
    </xf>
    <xf numFmtId="16" fontId="19" fillId="3" borderId="2" xfId="7" applyNumberFormat="1" applyFont="1" applyFill="1" applyBorder="1" applyAlignment="1">
      <alignment horizontal="left" wrapText="1" indent="2"/>
    </xf>
    <xf numFmtId="0" fontId="104" fillId="0" borderId="1" xfId="0" applyFont="1" applyBorder="1" applyAlignment="1">
      <alignment horizontal="center" vertical="center" wrapText="1"/>
    </xf>
    <xf numFmtId="4" fontId="106" fillId="0" borderId="0" xfId="0" applyNumberFormat="1" applyFont="1" applyFill="1" applyBorder="1" applyAlignment="1" applyProtection="1">
      <alignment horizontal="center"/>
    </xf>
    <xf numFmtId="0" fontId="91" fillId="3" borderId="0" xfId="0" applyFont="1" applyFill="1" applyBorder="1" applyAlignment="1" applyProtection="1">
      <alignment vertical="center" wrapText="1"/>
    </xf>
    <xf numFmtId="4" fontId="10" fillId="3" borderId="1" xfId="7" applyNumberFormat="1" applyFont="1" applyFill="1" applyBorder="1" applyAlignment="1" applyProtection="1">
      <alignment horizontal="center" vertical="center"/>
      <protection locked="0"/>
    </xf>
    <xf numFmtId="0" fontId="8" fillId="3" borderId="14" xfId="7" applyFont="1" applyFill="1" applyBorder="1" applyAlignment="1">
      <alignment horizontal="left" vertical="center"/>
    </xf>
    <xf numFmtId="16" fontId="4" fillId="3" borderId="2" xfId="7" applyNumberFormat="1" applyFont="1" applyFill="1" applyBorder="1" applyAlignment="1">
      <alignment horizontal="left" vertical="center"/>
    </xf>
    <xf numFmtId="14" fontId="4" fillId="3" borderId="2" xfId="7" applyNumberFormat="1" applyFont="1" applyFill="1" applyBorder="1" applyAlignment="1">
      <alignment horizontal="left" vertical="center"/>
    </xf>
    <xf numFmtId="0" fontId="4" fillId="3" borderId="2" xfId="7" applyFont="1" applyFill="1" applyBorder="1" applyAlignment="1">
      <alignment horizontal="left" vertical="center"/>
    </xf>
    <xf numFmtId="14" fontId="89" fillId="3" borderId="2" xfId="7" applyNumberFormat="1" applyFont="1" applyFill="1" applyBorder="1" applyAlignment="1">
      <alignment horizontal="left" vertical="center"/>
    </xf>
    <xf numFmtId="14" fontId="8" fillId="3" borderId="2" xfId="7" applyNumberFormat="1" applyFont="1" applyFill="1" applyBorder="1" applyAlignment="1">
      <alignment horizontal="left" vertical="center"/>
    </xf>
    <xf numFmtId="0" fontId="4" fillId="3" borderId="2" xfId="7" applyFont="1" applyFill="1" applyBorder="1" applyAlignment="1"/>
    <xf numFmtId="0" fontId="4" fillId="3" borderId="8" xfId="7" applyFont="1" applyFill="1" applyBorder="1" applyAlignment="1"/>
    <xf numFmtId="16" fontId="25" fillId="3" borderId="14" xfId="7" applyNumberFormat="1" applyFont="1" applyFill="1" applyBorder="1" applyAlignment="1">
      <alignment horizontal="left" vertical="center" indent="2"/>
    </xf>
    <xf numFmtId="4" fontId="91" fillId="0" borderId="17" xfId="0" applyNumberFormat="1" applyFont="1" applyBorder="1" applyProtection="1">
      <protection locked="0"/>
    </xf>
    <xf numFmtId="16" fontId="19" fillId="3" borderId="18" xfId="7" applyNumberFormat="1" applyFont="1" applyFill="1" applyBorder="1" applyAlignment="1">
      <alignment horizontal="left" wrapText="1" indent="2"/>
    </xf>
    <xf numFmtId="16" fontId="24" fillId="3" borderId="2" xfId="7" applyNumberFormat="1" applyFont="1" applyFill="1" applyBorder="1" applyAlignment="1">
      <alignment horizontal="left" wrapText="1" indent="2"/>
    </xf>
    <xf numFmtId="16" fontId="24" fillId="3" borderId="8" xfId="7" applyNumberFormat="1" applyFont="1" applyFill="1" applyBorder="1" applyAlignment="1">
      <alignment horizontal="left" wrapText="1" indent="2"/>
    </xf>
    <xf numFmtId="0" fontId="91" fillId="3" borderId="0" xfId="0" applyFont="1" applyFill="1" applyBorder="1" applyAlignment="1" applyProtection="1">
      <alignment vertical="center" wrapText="1"/>
      <protection locked="0"/>
    </xf>
    <xf numFmtId="0" fontId="10" fillId="3" borderId="0" xfId="7" applyFont="1" applyFill="1" applyBorder="1" applyAlignment="1" applyProtection="1">
      <alignment horizontal="center" vertical="center" wrapText="1"/>
      <protection locked="0"/>
    </xf>
    <xf numFmtId="1" fontId="19" fillId="3" borderId="0" xfId="7" applyNumberFormat="1" applyFont="1" applyFill="1" applyBorder="1" applyAlignment="1" applyProtection="1">
      <alignment horizontal="center" wrapText="1"/>
      <protection locked="0"/>
    </xf>
    <xf numFmtId="4" fontId="91" fillId="3" borderId="0" xfId="0" quotePrefix="1" applyNumberFormat="1" applyFont="1" applyFill="1" applyBorder="1" applyAlignment="1" applyProtection="1">
      <alignment horizontal="center"/>
      <protection locked="0"/>
    </xf>
    <xf numFmtId="4" fontId="91" fillId="0" borderId="6" xfId="0" applyNumberFormat="1" applyFont="1" applyBorder="1" applyProtection="1"/>
    <xf numFmtId="4" fontId="91" fillId="8" borderId="6" xfId="0" applyNumberFormat="1" applyFont="1" applyFill="1" applyBorder="1" applyProtection="1"/>
    <xf numFmtId="4" fontId="91" fillId="8" borderId="7" xfId="0" applyNumberFormat="1" applyFont="1" applyFill="1" applyBorder="1" applyProtection="1"/>
    <xf numFmtId="4" fontId="89" fillId="3" borderId="0" xfId="0" applyNumberFormat="1" applyFont="1" applyFill="1" applyBorder="1" applyProtection="1"/>
    <xf numFmtId="0" fontId="86" fillId="0" borderId="0" xfId="0" applyFont="1" applyProtection="1"/>
    <xf numFmtId="4" fontId="91" fillId="3" borderId="0" xfId="0" applyNumberFormat="1" applyFont="1" applyFill="1" applyBorder="1" applyProtection="1"/>
    <xf numFmtId="182" fontId="86" fillId="0" borderId="0" xfId="0" applyNumberFormat="1" applyFont="1" applyProtection="1">
      <protection locked="0"/>
    </xf>
    <xf numFmtId="4" fontId="91" fillId="3" borderId="1" xfId="0" applyNumberFormat="1" applyFont="1" applyFill="1" applyBorder="1" applyProtection="1">
      <protection locked="0"/>
    </xf>
    <xf numFmtId="4" fontId="91" fillId="3" borderId="1" xfId="0" applyNumberFormat="1" applyFont="1" applyFill="1" applyBorder="1"/>
    <xf numFmtId="4" fontId="4" fillId="0" borderId="0" xfId="7" applyNumberFormat="1" applyFont="1" applyFill="1" applyBorder="1" applyAlignment="1">
      <alignment vertical="center"/>
    </xf>
    <xf numFmtId="0" fontId="4" fillId="3" borderId="3" xfId="7" applyFont="1" applyFill="1" applyBorder="1" applyAlignment="1">
      <alignment horizontal="center" vertical="center" wrapText="1"/>
    </xf>
    <xf numFmtId="0" fontId="4" fillId="3" borderId="4" xfId="7" applyFont="1" applyFill="1" applyBorder="1" applyAlignment="1">
      <alignment horizontal="center" vertical="center" wrapText="1"/>
    </xf>
    <xf numFmtId="0" fontId="4" fillId="3" borderId="12" xfId="7" applyFont="1" applyFill="1" applyBorder="1" applyAlignment="1">
      <alignment horizontal="center" vertical="center" wrapText="1"/>
    </xf>
    <xf numFmtId="0" fontId="4" fillId="3" borderId="5" xfId="7" applyFont="1" applyFill="1" applyBorder="1" applyAlignment="1">
      <alignment horizontal="center" vertical="center" wrapText="1"/>
    </xf>
    <xf numFmtId="0" fontId="4" fillId="3" borderId="10" xfId="7" applyFont="1" applyFill="1" applyBorder="1" applyAlignment="1">
      <alignment horizontal="center" vertical="center" wrapText="1"/>
    </xf>
    <xf numFmtId="0" fontId="4" fillId="3" borderId="11" xfId="7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left" vertical="center" wrapText="1" indent="2"/>
    </xf>
    <xf numFmtId="0" fontId="4" fillId="3" borderId="1" xfId="7" applyFont="1" applyFill="1" applyBorder="1" applyAlignment="1">
      <alignment horizontal="left" vertical="center" wrapText="1"/>
    </xf>
    <xf numFmtId="4" fontId="4" fillId="3" borderId="3" xfId="7" applyNumberFormat="1" applyFont="1" applyFill="1" applyBorder="1" applyAlignment="1">
      <alignment horizontal="center" vertical="center" wrapText="1"/>
    </xf>
    <xf numFmtId="0" fontId="8" fillId="3" borderId="1" xfId="7" applyFont="1" applyFill="1" applyBorder="1" applyAlignment="1">
      <alignment horizontal="left" vertical="center" wrapText="1"/>
    </xf>
    <xf numFmtId="0" fontId="4" fillId="3" borderId="6" xfId="7" applyFont="1" applyFill="1" applyBorder="1" applyAlignment="1">
      <alignment horizontal="left" vertical="center" wrapText="1" indent="2"/>
    </xf>
    <xf numFmtId="0" fontId="4" fillId="3" borderId="1" xfId="7" applyFont="1" applyFill="1" applyBorder="1" applyAlignment="1">
      <alignment horizontal="left" vertical="center" wrapText="1" indent="3"/>
    </xf>
    <xf numFmtId="0" fontId="4" fillId="0" borderId="1" xfId="7" applyFont="1" applyFill="1" applyBorder="1" applyAlignment="1">
      <alignment horizontal="left" vertical="center" wrapText="1"/>
    </xf>
    <xf numFmtId="0" fontId="91" fillId="0" borderId="1" xfId="7" applyFont="1" applyFill="1" applyBorder="1" applyAlignment="1">
      <alignment horizontal="left" vertical="center" wrapText="1"/>
    </xf>
    <xf numFmtId="0" fontId="8" fillId="0" borderId="1" xfId="7" applyFont="1" applyFill="1" applyBorder="1" applyAlignment="1">
      <alignment horizontal="left" vertical="center" wrapText="1"/>
    </xf>
    <xf numFmtId="0" fontId="10" fillId="3" borderId="1" xfId="7" applyFont="1" applyFill="1" applyBorder="1" applyAlignment="1">
      <alignment horizontal="center" vertical="center"/>
    </xf>
    <xf numFmtId="4" fontId="9" fillId="3" borderId="0" xfId="7" applyNumberFormat="1" applyFont="1" applyFill="1" applyBorder="1" applyAlignment="1">
      <alignment horizontal="center" vertical="center"/>
    </xf>
    <xf numFmtId="0" fontId="4" fillId="3" borderId="0" xfId="7" applyFont="1" applyFill="1" applyBorder="1" applyAlignment="1">
      <alignment horizontal="center"/>
    </xf>
    <xf numFmtId="0" fontId="91" fillId="3" borderId="12" xfId="7" applyFont="1" applyFill="1" applyBorder="1" applyAlignment="1">
      <alignment horizontal="center" vertical="center" wrapText="1"/>
    </xf>
    <xf numFmtId="0" fontId="91" fillId="3" borderId="17" xfId="7" applyFont="1" applyFill="1" applyBorder="1" applyAlignment="1">
      <alignment horizontal="center" vertical="center" wrapText="1"/>
    </xf>
    <xf numFmtId="0" fontId="91" fillId="3" borderId="0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" fillId="3" borderId="1" xfId="7" applyFont="1" applyFill="1" applyBorder="1" applyAlignment="1">
      <alignment horizontal="left"/>
    </xf>
    <xf numFmtId="0" fontId="4" fillId="0" borderId="8" xfId="7" applyFont="1" applyFill="1" applyBorder="1" applyAlignment="1">
      <alignment horizontal="left" vertical="center" wrapText="1"/>
    </xf>
    <xf numFmtId="0" fontId="4" fillId="3" borderId="6" xfId="7" applyFont="1" applyFill="1" applyBorder="1" applyAlignment="1">
      <alignment horizontal="left"/>
    </xf>
    <xf numFmtId="0" fontId="4" fillId="3" borderId="6" xfId="7" applyFont="1" applyFill="1" applyBorder="1" applyAlignment="1">
      <alignment horizontal="center" vertical="center" wrapText="1"/>
    </xf>
    <xf numFmtId="0" fontId="4" fillId="3" borderId="7" xfId="7" applyFont="1" applyFill="1" applyBorder="1" applyAlignment="1">
      <alignment horizontal="center" vertical="center" wrapText="1"/>
    </xf>
    <xf numFmtId="4" fontId="4" fillId="9" borderId="10" xfId="7" applyNumberFormat="1" applyFont="1" applyFill="1" applyBorder="1" applyAlignment="1">
      <alignment horizontal="center" vertical="center" wrapText="1"/>
    </xf>
    <xf numFmtId="4" fontId="4" fillId="9" borderId="11" xfId="7" applyNumberFormat="1" applyFont="1" applyFill="1" applyBorder="1" applyAlignment="1">
      <alignment horizontal="center" vertical="center" wrapText="1"/>
    </xf>
    <xf numFmtId="4" fontId="4" fillId="3" borderId="0" xfId="7" applyNumberFormat="1" applyFont="1" applyFill="1" applyBorder="1" applyAlignment="1">
      <alignment horizontal="center" vertical="center" wrapText="1"/>
    </xf>
    <xf numFmtId="0" fontId="4" fillId="3" borderId="10" xfId="7" applyFont="1" applyFill="1" applyBorder="1" applyAlignment="1">
      <alignment horizontal="left"/>
    </xf>
    <xf numFmtId="4" fontId="4" fillId="3" borderId="10" xfId="7" applyNumberFormat="1" applyFont="1" applyFill="1" applyBorder="1" applyAlignment="1">
      <alignment horizontal="center" vertical="center" wrapText="1"/>
    </xf>
    <xf numFmtId="16" fontId="14" fillId="3" borderId="1" xfId="7" applyNumberFormat="1" applyFont="1" applyFill="1" applyBorder="1" applyAlignment="1">
      <alignment horizontal="left" vertical="center"/>
    </xf>
    <xf numFmtId="4" fontId="4" fillId="3" borderId="5" xfId="7" applyNumberFormat="1" applyFont="1" applyFill="1" applyBorder="1" applyAlignment="1">
      <alignment horizontal="center" vertical="center" wrapText="1"/>
    </xf>
    <xf numFmtId="14" fontId="14" fillId="3" borderId="1" xfId="7" applyNumberFormat="1" applyFont="1" applyFill="1" applyBorder="1" applyAlignment="1">
      <alignment horizontal="left" vertical="center"/>
    </xf>
    <xf numFmtId="0" fontId="14" fillId="3" borderId="1" xfId="7" applyFont="1" applyFill="1" applyBorder="1" applyAlignment="1">
      <alignment horizontal="left" vertical="center"/>
    </xf>
    <xf numFmtId="0" fontId="4" fillId="3" borderId="3" xfId="7" applyFont="1" applyFill="1" applyBorder="1" applyAlignment="1">
      <alignment horizontal="left"/>
    </xf>
    <xf numFmtId="4" fontId="4" fillId="3" borderId="6" xfId="7" applyNumberFormat="1" applyFont="1" applyFill="1" applyBorder="1" applyAlignment="1">
      <alignment horizontal="center" vertical="center" wrapText="1"/>
    </xf>
    <xf numFmtId="4" fontId="4" fillId="3" borderId="7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left" vertical="center"/>
    </xf>
    <xf numFmtId="4" fontId="91" fillId="3" borderId="0" xfId="0" applyNumberFormat="1" applyFont="1" applyFill="1" applyBorder="1"/>
    <xf numFmtId="0" fontId="86" fillId="0" borderId="2" xfId="0" applyFont="1" applyBorder="1" applyAlignment="1">
      <alignment horizontal="center"/>
    </xf>
    <xf numFmtId="16" fontId="8" fillId="3" borderId="1" xfId="7" applyNumberFormat="1" applyFont="1" applyFill="1" applyBorder="1" applyAlignment="1">
      <alignment horizontal="left" wrapText="1" indent="2"/>
    </xf>
    <xf numFmtId="4" fontId="91" fillId="3" borderId="5" xfId="0" applyNumberFormat="1" applyFont="1" applyFill="1" applyBorder="1" applyAlignment="1">
      <alignment horizontal="center"/>
    </xf>
    <xf numFmtId="16" fontId="4" fillId="3" borderId="1" xfId="7" applyNumberFormat="1" applyFont="1" applyFill="1" applyBorder="1" applyAlignment="1">
      <alignment wrapText="1"/>
    </xf>
    <xf numFmtId="0" fontId="4" fillId="0" borderId="1" xfId="7" applyFont="1" applyFill="1" applyBorder="1" applyAlignment="1" applyProtection="1">
      <alignment horizontal="center" vertical="center"/>
      <protection locked="0"/>
    </xf>
    <xf numFmtId="0" fontId="14" fillId="3" borderId="1" xfId="7" applyFont="1" applyFill="1" applyBorder="1" applyAlignment="1" applyProtection="1">
      <alignment vertical="center"/>
      <protection locked="0"/>
    </xf>
    <xf numFmtId="4" fontId="14" fillId="0" borderId="1" xfId="7" applyNumberFormat="1" applyFont="1" applyFill="1" applyBorder="1" applyAlignment="1" applyProtection="1">
      <alignment vertical="center"/>
      <protection locked="0"/>
    </xf>
    <xf numFmtId="182" fontId="14" fillId="0" borderId="1" xfId="7" applyNumberFormat="1" applyFont="1" applyFill="1" applyBorder="1" applyAlignment="1" applyProtection="1">
      <alignment vertical="center"/>
      <protection locked="0"/>
    </xf>
    <xf numFmtId="4" fontId="86" fillId="0" borderId="0" xfId="0" applyNumberFormat="1" applyFont="1" applyBorder="1" applyAlignment="1">
      <alignment horizontal="left" vertical="center" indent="2"/>
    </xf>
    <xf numFmtId="0" fontId="14" fillId="3" borderId="0" xfId="7" applyFont="1" applyFill="1" applyBorder="1" applyAlignment="1" applyProtection="1">
      <alignment vertical="center"/>
      <protection locked="0"/>
    </xf>
    <xf numFmtId="0" fontId="14" fillId="3" borderId="0" xfId="7" applyFont="1" applyFill="1" applyBorder="1" applyAlignment="1">
      <alignment vertical="center"/>
    </xf>
    <xf numFmtId="0" fontId="25" fillId="3" borderId="1" xfId="7" applyFont="1" applyFill="1" applyBorder="1" applyAlignment="1">
      <alignment horizontal="left" vertical="center"/>
    </xf>
    <xf numFmtId="14" fontId="25" fillId="3" borderId="6" xfId="7" applyNumberFormat="1" applyFont="1" applyFill="1" applyBorder="1" applyAlignment="1">
      <alignment horizontal="left" vertical="center"/>
    </xf>
    <xf numFmtId="0" fontId="4" fillId="0" borderId="14" xfId="7" applyFont="1" applyFill="1" applyBorder="1" applyAlignment="1">
      <alignment horizontal="left" vertical="center" wrapText="1"/>
    </xf>
    <xf numFmtId="0" fontId="4" fillId="9" borderId="18" xfId="7" applyFont="1" applyFill="1" applyBorder="1" applyAlignment="1">
      <alignment horizontal="center" vertical="center"/>
    </xf>
    <xf numFmtId="0" fontId="4" fillId="9" borderId="10" xfId="7" applyFont="1" applyFill="1" applyBorder="1" applyAlignment="1">
      <alignment horizontal="left"/>
    </xf>
    <xf numFmtId="182" fontId="4" fillId="3" borderId="1" xfId="7" applyNumberFormat="1" applyFont="1" applyFill="1" applyBorder="1" applyAlignment="1">
      <alignment horizontal="center" vertical="center" wrapText="1"/>
    </xf>
    <xf numFmtId="1" fontId="4" fillId="3" borderId="3" xfId="7" applyNumberFormat="1" applyFont="1" applyFill="1" applyBorder="1" applyAlignment="1">
      <alignment horizontal="center" vertical="center" wrapText="1"/>
    </xf>
    <xf numFmtId="0" fontId="4" fillId="3" borderId="6" xfId="7" applyFont="1" applyFill="1" applyBorder="1" applyAlignment="1">
      <alignment horizontal="left" indent="1"/>
    </xf>
    <xf numFmtId="0" fontId="4" fillId="0" borderId="18" xfId="7" applyFont="1" applyFill="1" applyBorder="1" applyAlignment="1">
      <alignment horizontal="left" vertical="center" wrapText="1"/>
    </xf>
    <xf numFmtId="180" fontId="4" fillId="3" borderId="3" xfId="7" applyNumberFormat="1" applyFont="1" applyFill="1" applyBorder="1" applyAlignment="1">
      <alignment horizontal="center" vertical="center" wrapText="1"/>
    </xf>
    <xf numFmtId="180" fontId="4" fillId="3" borderId="1" xfId="7" applyNumberFormat="1" applyFont="1" applyFill="1" applyBorder="1" applyAlignment="1">
      <alignment horizontal="center" vertical="center" wrapText="1"/>
    </xf>
    <xf numFmtId="180" fontId="4" fillId="3" borderId="6" xfId="7" applyNumberFormat="1" applyFont="1" applyFill="1" applyBorder="1" applyAlignment="1">
      <alignment horizontal="center" vertical="center" wrapText="1"/>
    </xf>
    <xf numFmtId="0" fontId="100" fillId="0" borderId="1" xfId="0" applyFont="1" applyBorder="1" applyAlignment="1">
      <alignment horizontal="left" vertical="center" wrapText="1"/>
    </xf>
    <xf numFmtId="0" fontId="87" fillId="0" borderId="0" xfId="0" applyFont="1" applyAlignment="1">
      <alignment wrapText="1"/>
    </xf>
    <xf numFmtId="16" fontId="8" fillId="3" borderId="1" xfId="7" applyNumberFormat="1" applyFont="1" applyFill="1" applyBorder="1" applyAlignment="1">
      <alignment horizontal="left" vertical="center" indent="2"/>
    </xf>
    <xf numFmtId="0" fontId="86" fillId="0" borderId="14" xfId="0" applyFont="1" applyBorder="1" applyAlignment="1">
      <alignment horizontal="center"/>
    </xf>
    <xf numFmtId="16" fontId="8" fillId="3" borderId="3" xfId="7" applyNumberFormat="1" applyFont="1" applyFill="1" applyBorder="1" applyAlignment="1">
      <alignment horizontal="left" wrapText="1" indent="2"/>
    </xf>
    <xf numFmtId="4" fontId="91" fillId="3" borderId="3" xfId="0" applyNumberFormat="1" applyFont="1" applyFill="1" applyBorder="1"/>
    <xf numFmtId="4" fontId="91" fillId="3" borderId="4" xfId="0" applyNumberFormat="1" applyFont="1" applyFill="1" applyBorder="1" applyAlignment="1">
      <alignment horizontal="center"/>
    </xf>
    <xf numFmtId="0" fontId="86" fillId="10" borderId="8" xfId="0" applyFont="1" applyFill="1" applyBorder="1" applyAlignment="1">
      <alignment horizontal="center"/>
    </xf>
    <xf numFmtId="16" fontId="8" fillId="10" borderId="6" xfId="7" applyNumberFormat="1" applyFont="1" applyFill="1" applyBorder="1" applyAlignment="1">
      <alignment horizontal="left" vertical="center" indent="2"/>
    </xf>
    <xf numFmtId="4" fontId="91" fillId="10" borderId="6" xfId="0" applyNumberFormat="1" applyFont="1" applyFill="1" applyBorder="1"/>
    <xf numFmtId="4" fontId="91" fillId="10" borderId="6" xfId="0" applyNumberFormat="1" applyFont="1" applyFill="1" applyBorder="1" applyAlignment="1">
      <alignment horizontal="center"/>
    </xf>
    <xf numFmtId="4" fontId="91" fillId="10" borderId="7" xfId="0" applyNumberFormat="1" applyFont="1" applyFill="1" applyBorder="1"/>
    <xf numFmtId="0" fontId="4" fillId="3" borderId="0" xfId="7" applyFont="1" applyFill="1" applyBorder="1" applyAlignment="1">
      <alignment horizontal="left" vertical="center"/>
    </xf>
    <xf numFmtId="4" fontId="4" fillId="3" borderId="0" xfId="7" applyNumberFormat="1" applyFont="1" applyFill="1" applyBorder="1" applyAlignment="1">
      <alignment vertical="center"/>
    </xf>
    <xf numFmtId="0" fontId="91" fillId="0" borderId="9" xfId="7" applyFont="1" applyFill="1" applyBorder="1" applyAlignment="1">
      <alignment horizontal="left" vertical="center" wrapText="1"/>
    </xf>
    <xf numFmtId="0" fontId="83" fillId="3" borderId="0" xfId="0" applyFont="1" applyFill="1" applyBorder="1" applyAlignment="1">
      <alignment wrapText="1"/>
    </xf>
    <xf numFmtId="0" fontId="83" fillId="3" borderId="0" xfId="0" applyFont="1" applyFill="1" applyBorder="1" applyAlignment="1">
      <alignment horizontal="left" wrapText="1" indent="2"/>
    </xf>
    <xf numFmtId="0" fontId="8" fillId="0" borderId="0" xfId="7" applyFont="1" applyFill="1" applyBorder="1" applyAlignment="1" applyProtection="1">
      <alignment vertical="center"/>
      <protection locked="0"/>
    </xf>
    <xf numFmtId="0" fontId="87" fillId="0" borderId="3" xfId="0" applyFont="1" applyBorder="1" applyAlignment="1">
      <alignment horizontal="left" vertical="center" wrapText="1"/>
    </xf>
    <xf numFmtId="0" fontId="4" fillId="3" borderId="1" xfId="7" applyFont="1" applyFill="1" applyBorder="1" applyAlignment="1">
      <alignment horizontal="left" indent="2"/>
    </xf>
    <xf numFmtId="0" fontId="4" fillId="3" borderId="9" xfId="7" applyFont="1" applyFill="1" applyBorder="1" applyAlignment="1">
      <alignment wrapText="1"/>
    </xf>
    <xf numFmtId="0" fontId="4" fillId="3" borderId="1" xfId="7" applyFont="1" applyFill="1" applyBorder="1" applyAlignment="1">
      <alignment horizontal="left" indent="3"/>
    </xf>
    <xf numFmtId="0" fontId="4" fillId="3" borderId="1" xfId="7" applyFont="1" applyFill="1" applyBorder="1" applyAlignment="1">
      <alignment horizontal="left" indent="1"/>
    </xf>
    <xf numFmtId="0" fontId="8" fillId="9" borderId="10" xfId="7" applyFont="1" applyFill="1" applyBorder="1" applyAlignment="1">
      <alignment horizontal="left" vertical="center" wrapText="1"/>
    </xf>
    <xf numFmtId="0" fontId="4" fillId="3" borderId="1" xfId="7" applyFont="1" applyFill="1" applyBorder="1" applyAlignment="1">
      <alignment horizontal="left" vertical="center" wrapText="1" indent="1"/>
    </xf>
    <xf numFmtId="0" fontId="8" fillId="10" borderId="6" xfId="7" applyFont="1" applyFill="1" applyBorder="1" applyAlignment="1">
      <alignment horizontal="left" vertical="center" wrapText="1"/>
    </xf>
    <xf numFmtId="0" fontId="4" fillId="0" borderId="9" xfId="7" applyFont="1" applyFill="1" applyBorder="1" applyAlignment="1" applyProtection="1">
      <alignment horizontal="left" vertical="center" wrapText="1"/>
      <protection locked="0"/>
    </xf>
    <xf numFmtId="0" fontId="4" fillId="3" borderId="21" xfId="7" applyFont="1" applyFill="1" applyBorder="1" applyAlignment="1">
      <alignment horizontal="center"/>
    </xf>
    <xf numFmtId="0" fontId="4" fillId="3" borderId="22" xfId="7" applyFont="1" applyFill="1" applyBorder="1" applyAlignment="1">
      <alignment wrapText="1"/>
    </xf>
    <xf numFmtId="0" fontId="4" fillId="0" borderId="23" xfId="7" applyFont="1" applyFill="1" applyBorder="1" applyAlignment="1">
      <alignment horizontal="left" vertical="center" wrapText="1"/>
    </xf>
    <xf numFmtId="0" fontId="4" fillId="3" borderId="24" xfId="7" applyFont="1" applyFill="1" applyBorder="1" applyAlignment="1">
      <alignment horizontal="left"/>
    </xf>
    <xf numFmtId="4" fontId="4" fillId="3" borderId="24" xfId="7" applyNumberFormat="1" applyFont="1" applyFill="1" applyBorder="1" applyAlignment="1">
      <alignment horizontal="center" vertical="center" wrapText="1"/>
    </xf>
    <xf numFmtId="0" fontId="4" fillId="3" borderId="25" xfId="7" applyFont="1" applyFill="1" applyBorder="1" applyAlignment="1">
      <alignment wrapText="1"/>
    </xf>
    <xf numFmtId="0" fontId="4" fillId="3" borderId="3" xfId="7" applyFont="1" applyFill="1" applyBorder="1" applyAlignment="1">
      <alignment horizontal="left" indent="2"/>
    </xf>
    <xf numFmtId="0" fontId="4" fillId="3" borderId="6" xfId="7" applyFont="1" applyFill="1" applyBorder="1" applyAlignment="1">
      <alignment horizontal="left" indent="2"/>
    </xf>
    <xf numFmtId="0" fontId="4" fillId="3" borderId="6" xfId="7" applyFont="1" applyFill="1" applyBorder="1" applyAlignment="1">
      <alignment horizontal="left" indent="3"/>
    </xf>
    <xf numFmtId="0" fontId="10" fillId="0" borderId="1" xfId="0" applyFont="1" applyBorder="1" applyAlignment="1">
      <alignment horizontal="center" vertical="center"/>
    </xf>
    <xf numFmtId="0" fontId="104" fillId="0" borderId="0" xfId="0" applyFont="1"/>
    <xf numFmtId="0" fontId="107" fillId="0" borderId="0" xfId="7" applyFont="1" applyFill="1" applyBorder="1" applyAlignment="1">
      <alignment horizontal="left" vertical="center" wrapText="1"/>
    </xf>
    <xf numFmtId="0" fontId="104" fillId="0" borderId="0" xfId="0" applyFont="1" applyProtection="1">
      <protection locked="0"/>
    </xf>
    <xf numFmtId="0" fontId="89" fillId="0" borderId="0" xfId="0" applyFont="1" applyAlignment="1">
      <alignment horizontal="center" vertical="center"/>
    </xf>
    <xf numFmtId="16" fontId="24" fillId="3" borderId="23" xfId="7" applyNumberFormat="1" applyFont="1" applyFill="1" applyBorder="1" applyAlignment="1">
      <alignment horizontal="left" wrapText="1" indent="2"/>
    </xf>
    <xf numFmtId="16" fontId="19" fillId="3" borderId="14" xfId="7" applyNumberFormat="1" applyFont="1" applyFill="1" applyBorder="1" applyAlignment="1">
      <alignment horizontal="left" wrapText="1" indent="2"/>
    </xf>
    <xf numFmtId="0" fontId="21" fillId="0" borderId="0" xfId="7" applyFont="1" applyFill="1" applyBorder="1" applyAlignment="1">
      <alignment horizontal="left" vertical="center" wrapText="1"/>
    </xf>
    <xf numFmtId="0" fontId="21" fillId="3" borderId="0" xfId="7" applyFont="1" applyFill="1" applyBorder="1" applyAlignment="1">
      <alignment horizontal="left" vertical="center"/>
    </xf>
    <xf numFmtId="0" fontId="104" fillId="0" borderId="1" xfId="0" applyFont="1" applyBorder="1" applyAlignment="1" applyProtection="1">
      <alignment horizontal="center" vertical="center" wrapText="1"/>
    </xf>
    <xf numFmtId="180" fontId="91" fillId="3" borderId="0" xfId="0" applyNumberFormat="1" applyFont="1" applyFill="1" applyBorder="1" applyAlignment="1" applyProtection="1">
      <alignment horizontal="center" vertical="center"/>
    </xf>
    <xf numFmtId="4" fontId="106" fillId="3" borderId="0" xfId="0" applyNumberFormat="1" applyFont="1" applyFill="1" applyBorder="1" applyAlignment="1" applyProtection="1">
      <alignment horizontal="right"/>
    </xf>
    <xf numFmtId="0" fontId="23" fillId="0" borderId="0" xfId="7" applyFont="1" applyFill="1" applyBorder="1" applyAlignment="1">
      <alignment horizontal="right" vertical="center" wrapText="1"/>
    </xf>
    <xf numFmtId="1" fontId="19" fillId="3" borderId="1" xfId="7" applyNumberFormat="1" applyFont="1" applyFill="1" applyBorder="1" applyAlignment="1">
      <alignment horizontal="center" vertical="center" wrapText="1"/>
    </xf>
    <xf numFmtId="4" fontId="4" fillId="3" borderId="5" xfId="7" applyNumberFormat="1" applyFont="1" applyFill="1" applyBorder="1" applyAlignment="1" applyProtection="1">
      <alignment horizontal="center" vertical="center"/>
      <protection locked="0"/>
    </xf>
    <xf numFmtId="4" fontId="4" fillId="3" borderId="7" xfId="7" applyNumberFormat="1" applyFont="1" applyFill="1" applyBorder="1" applyAlignment="1" applyProtection="1">
      <alignment horizontal="center" vertical="center"/>
      <protection locked="0"/>
    </xf>
    <xf numFmtId="182" fontId="4" fillId="3" borderId="0" xfId="0" applyNumberFormat="1" applyFont="1" applyFill="1" applyBorder="1" applyAlignment="1" applyProtection="1">
      <alignment horizontal="center" vertical="center"/>
      <protection locked="0"/>
    </xf>
    <xf numFmtId="180" fontId="91" fillId="3" borderId="0" xfId="0" applyNumberFormat="1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center"/>
    </xf>
    <xf numFmtId="182" fontId="92" fillId="3" borderId="0" xfId="0" applyNumberFormat="1" applyFont="1" applyFill="1" applyBorder="1" applyAlignment="1" applyProtection="1">
      <alignment horizontal="center" vertical="center"/>
      <protection locked="0"/>
    </xf>
    <xf numFmtId="4" fontId="4" fillId="3" borderId="0" xfId="7" applyNumberFormat="1" applyFont="1" applyFill="1" applyBorder="1" applyAlignment="1" applyProtection="1">
      <alignment horizontal="center" vertical="center" wrapText="1"/>
      <protection locked="0"/>
    </xf>
    <xf numFmtId="4" fontId="4" fillId="3" borderId="0" xfId="0" applyNumberFormat="1" applyFont="1" applyFill="1" applyBorder="1" applyAlignment="1" applyProtection="1">
      <alignment horizontal="center" vertical="center"/>
      <protection locked="0"/>
    </xf>
    <xf numFmtId="180" fontId="104" fillId="0" borderId="2" xfId="0" applyNumberFormat="1" applyFont="1" applyFill="1" applyBorder="1" applyAlignment="1" applyProtection="1">
      <alignment horizontal="center" vertical="center" wrapText="1"/>
    </xf>
    <xf numFmtId="4" fontId="4" fillId="3" borderId="6" xfId="7" applyNumberFormat="1" applyFont="1" applyFill="1" applyBorder="1" applyAlignment="1" applyProtection="1">
      <alignment horizontal="center" vertical="center" wrapText="1"/>
    </xf>
    <xf numFmtId="4" fontId="4" fillId="3" borderId="0" xfId="7" applyNumberFormat="1" applyFont="1" applyFill="1" applyBorder="1" applyAlignment="1" applyProtection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" fillId="3" borderId="1" xfId="7" applyFont="1" applyFill="1" applyBorder="1" applyAlignment="1">
      <alignment horizontal="center" vertical="center"/>
    </xf>
    <xf numFmtId="0" fontId="4" fillId="3" borderId="1" xfId="7" applyFont="1" applyFill="1" applyBorder="1" applyAlignment="1">
      <alignment horizontal="left" vertical="center" wrapText="1"/>
    </xf>
    <xf numFmtId="0" fontId="8" fillId="3" borderId="1" xfId="7" applyFont="1" applyFill="1" applyBorder="1" applyAlignment="1">
      <alignment horizontal="left" vertical="center" wrapText="1"/>
    </xf>
    <xf numFmtId="16" fontId="19" fillId="3" borderId="2" xfId="7" applyNumberFormat="1" applyFont="1" applyFill="1" applyBorder="1" applyAlignment="1">
      <alignment horizontal="left" wrapText="1" indent="2"/>
    </xf>
    <xf numFmtId="0" fontId="7" fillId="3" borderId="0" xfId="7" applyFont="1" applyFill="1" applyBorder="1" applyAlignment="1">
      <alignment horizontal="right"/>
    </xf>
    <xf numFmtId="4" fontId="4" fillId="3" borderId="0" xfId="7" applyNumberFormat="1" applyFont="1" applyFill="1" applyBorder="1" applyAlignment="1" applyProtection="1">
      <alignment horizontal="center" vertical="center"/>
      <protection locked="0"/>
    </xf>
    <xf numFmtId="0" fontId="104" fillId="3" borderId="1" xfId="0" applyFont="1" applyFill="1" applyBorder="1" applyAlignment="1" applyProtection="1">
      <protection locked="0"/>
    </xf>
    <xf numFmtId="0" fontId="103" fillId="3" borderId="0" xfId="0" applyFont="1" applyFill="1"/>
    <xf numFmtId="0" fontId="102" fillId="3" borderId="0" xfId="7" applyFont="1" applyFill="1" applyBorder="1" applyAlignment="1">
      <alignment horizontal="left" vertical="center" wrapText="1"/>
    </xf>
    <xf numFmtId="16" fontId="7" fillId="3" borderId="0" xfId="7" applyNumberFormat="1" applyFont="1" applyFill="1" applyBorder="1" applyAlignment="1">
      <alignment horizontal="left" vertical="center" indent="2"/>
    </xf>
    <xf numFmtId="3" fontId="91" fillId="3" borderId="5" xfId="0" applyNumberFormat="1" applyFont="1" applyFill="1" applyBorder="1" applyAlignment="1" applyProtection="1">
      <alignment horizontal="center" vertical="center" wrapText="1"/>
    </xf>
    <xf numFmtId="0" fontId="14" fillId="0" borderId="8" xfId="7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0" fontId="7" fillId="3" borderId="0" xfId="7" applyFont="1" applyFill="1" applyBorder="1" applyAlignment="1"/>
    <xf numFmtId="182" fontId="4" fillId="0" borderId="0" xfId="7" applyNumberFormat="1" applyFont="1" applyFill="1" applyBorder="1" applyAlignment="1" applyProtection="1">
      <alignment vertical="center" wrapText="1"/>
    </xf>
    <xf numFmtId="0" fontId="108" fillId="0" borderId="0" xfId="0" applyFont="1" applyBorder="1"/>
    <xf numFmtId="0" fontId="91" fillId="3" borderId="0" xfId="0" applyFont="1" applyFill="1" applyBorder="1"/>
    <xf numFmtId="0" fontId="89" fillId="3" borderId="0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/>
    </xf>
    <xf numFmtId="0" fontId="108" fillId="0" borderId="25" xfId="0" applyFont="1" applyBorder="1"/>
    <xf numFmtId="0" fontId="108" fillId="11" borderId="1" xfId="0" applyFont="1" applyFill="1" applyBorder="1" applyAlignment="1">
      <alignment horizontal="center" vertical="center"/>
    </xf>
    <xf numFmtId="0" fontId="108" fillId="12" borderId="1" xfId="0" applyFont="1" applyFill="1" applyBorder="1" applyAlignment="1">
      <alignment horizontal="center" vertical="center"/>
    </xf>
    <xf numFmtId="0" fontId="108" fillId="7" borderId="1" xfId="0" applyFont="1" applyFill="1" applyBorder="1" applyAlignment="1">
      <alignment horizontal="center" vertical="center"/>
    </xf>
    <xf numFmtId="0" fontId="108" fillId="13" borderId="1" xfId="0" applyFont="1" applyFill="1" applyBorder="1" applyAlignment="1">
      <alignment horizontal="center" vertical="center" wrapText="1"/>
    </xf>
    <xf numFmtId="49" fontId="108" fillId="0" borderId="1" xfId="0" applyNumberFormat="1" applyFont="1" applyBorder="1" applyAlignment="1">
      <alignment horizontal="center" vertical="center" wrapText="1"/>
    </xf>
    <xf numFmtId="0" fontId="91" fillId="3" borderId="1" xfId="0" applyFont="1" applyFill="1" applyBorder="1" applyAlignment="1">
      <alignment vertical="center"/>
    </xf>
    <xf numFmtId="0" fontId="108" fillId="0" borderId="1" xfId="0" applyFont="1" applyBorder="1"/>
    <xf numFmtId="0" fontId="108" fillId="0" borderId="9" xfId="0" applyFont="1" applyBorder="1"/>
    <xf numFmtId="0" fontId="108" fillId="0" borderId="1" xfId="0" applyFont="1" applyBorder="1" applyAlignment="1">
      <alignment horizontal="center"/>
    </xf>
    <xf numFmtId="0" fontId="105" fillId="0" borderId="1" xfId="0" applyFont="1" applyBorder="1" applyAlignment="1">
      <alignment horizontal="center"/>
    </xf>
    <xf numFmtId="16" fontId="91" fillId="3" borderId="1" xfId="0" applyNumberFormat="1" applyFont="1" applyFill="1" applyBorder="1" applyAlignment="1">
      <alignment horizontal="center" vertical="center"/>
    </xf>
    <xf numFmtId="0" fontId="91" fillId="3" borderId="1" xfId="0" applyFont="1" applyFill="1" applyBorder="1" applyAlignment="1">
      <alignment vertical="center" wrapText="1"/>
    </xf>
    <xf numFmtId="0" fontId="109" fillId="3" borderId="1" xfId="0" applyFont="1" applyFill="1" applyBorder="1" applyAlignment="1">
      <alignment horizontal="center"/>
    </xf>
    <xf numFmtId="0" fontId="0" fillId="3" borderId="0" xfId="0" applyFill="1"/>
    <xf numFmtId="0" fontId="108" fillId="0" borderId="0" xfId="0" applyFont="1"/>
    <xf numFmtId="0" fontId="108" fillId="3" borderId="9" xfId="0" applyFont="1" applyFill="1" applyBorder="1"/>
    <xf numFmtId="0" fontId="91" fillId="3" borderId="0" xfId="0" applyFont="1" applyFill="1"/>
    <xf numFmtId="0" fontId="108" fillId="3" borderId="1" xfId="0" applyFont="1" applyFill="1" applyBorder="1"/>
    <xf numFmtId="0" fontId="108" fillId="3" borderId="0" xfId="0" applyFont="1" applyFill="1" applyBorder="1"/>
    <xf numFmtId="0" fontId="108" fillId="3" borderId="1" xfId="0" applyFont="1" applyFill="1" applyBorder="1" applyAlignment="1">
      <alignment horizontal="center"/>
    </xf>
    <xf numFmtId="0" fontId="110" fillId="3" borderId="1" xfId="0" applyFont="1" applyFill="1" applyBorder="1"/>
    <xf numFmtId="0" fontId="0" fillId="3" borderId="0" xfId="0" applyFill="1" applyBorder="1"/>
    <xf numFmtId="0" fontId="92" fillId="3" borderId="1" xfId="0" applyFont="1" applyFill="1" applyBorder="1" applyAlignment="1">
      <alignment horizontal="center" vertical="center"/>
    </xf>
    <xf numFmtId="0" fontId="101" fillId="3" borderId="1" xfId="0" applyFont="1" applyFill="1" applyBorder="1" applyAlignment="1">
      <alignment horizontal="justify" vertical="center"/>
    </xf>
    <xf numFmtId="0" fontId="111" fillId="3" borderId="1" xfId="0" applyFont="1" applyFill="1" applyBorder="1"/>
    <xf numFmtId="49" fontId="4" fillId="3" borderId="15" xfId="7" applyNumberFormat="1" applyFont="1" applyFill="1" applyBorder="1" applyAlignment="1">
      <alignment horizontal="center" vertical="center"/>
    </xf>
    <xf numFmtId="183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180" fontId="4" fillId="3" borderId="0" xfId="7" applyNumberFormat="1" applyFont="1" applyFill="1" applyBorder="1" applyAlignment="1" applyProtection="1">
      <alignment vertical="center"/>
    </xf>
    <xf numFmtId="0" fontId="4" fillId="0" borderId="0" xfId="7" applyFont="1" applyFill="1" applyBorder="1" applyAlignment="1">
      <alignment horizontal="left" vertical="center" wrapText="1"/>
    </xf>
    <xf numFmtId="4" fontId="4" fillId="3" borderId="0" xfId="7" applyNumberFormat="1" applyFont="1" applyFill="1" applyBorder="1" applyAlignment="1" applyProtection="1">
      <alignment horizontal="center" vertical="center"/>
    </xf>
    <xf numFmtId="0" fontId="8" fillId="3" borderId="0" xfId="7" applyFont="1" applyFill="1" applyBorder="1" applyAlignment="1"/>
    <xf numFmtId="0" fontId="4" fillId="3" borderId="0" xfId="7" applyFont="1" applyFill="1" applyBorder="1" applyAlignment="1">
      <alignment horizontal="left" vertical="center" wrapText="1" indent="1"/>
    </xf>
    <xf numFmtId="0" fontId="8" fillId="3" borderId="2" xfId="7" applyFont="1" applyFill="1" applyBorder="1" applyAlignment="1">
      <alignment vertical="center"/>
    </xf>
    <xf numFmtId="16" fontId="4" fillId="3" borderId="2" xfId="7" applyNumberFormat="1" applyFont="1" applyFill="1" applyBorder="1" applyAlignment="1">
      <alignment vertical="center"/>
    </xf>
    <xf numFmtId="0" fontId="4" fillId="3" borderId="8" xfId="7" applyFont="1" applyFill="1" applyBorder="1" applyAlignment="1">
      <alignment vertical="center"/>
    </xf>
    <xf numFmtId="0" fontId="24" fillId="3" borderId="0" xfId="7" applyFont="1" applyFill="1" applyBorder="1" applyAlignment="1" applyProtection="1">
      <alignment vertical="center"/>
    </xf>
    <xf numFmtId="4" fontId="112" fillId="0" borderId="1" xfId="7" applyNumberFormat="1" applyFont="1" applyFill="1" applyBorder="1" applyAlignment="1" applyProtection="1">
      <alignment horizontal="center" vertical="center"/>
      <protection locked="0"/>
    </xf>
    <xf numFmtId="0" fontId="7" fillId="0" borderId="0" xfId="7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4" fontId="4" fillId="3" borderId="0" xfId="7" applyNumberFormat="1" applyFont="1" applyFill="1" applyBorder="1" applyAlignment="1" applyProtection="1">
      <alignment horizontal="left" vertical="center" wrapText="1"/>
    </xf>
    <xf numFmtId="14" fontId="92" fillId="3" borderId="2" xfId="7" applyNumberFormat="1" applyFont="1" applyFill="1" applyBorder="1" applyAlignment="1">
      <alignment horizontal="left" vertical="center"/>
    </xf>
    <xf numFmtId="14" fontId="4" fillId="3" borderId="8" xfId="7" applyNumberFormat="1" applyFont="1" applyFill="1" applyBorder="1" applyAlignment="1">
      <alignment horizontal="left" vertical="center"/>
    </xf>
    <xf numFmtId="0" fontId="91" fillId="0" borderId="0" xfId="7" applyFont="1" applyFill="1" applyBorder="1" applyAlignment="1" applyProtection="1">
      <alignment vertical="center" wrapText="1"/>
    </xf>
    <xf numFmtId="0" fontId="19" fillId="0" borderId="0" xfId="7" applyFont="1" applyFill="1" applyBorder="1" applyAlignment="1" applyProtection="1">
      <alignment vertical="center"/>
    </xf>
    <xf numFmtId="0" fontId="19" fillId="0" borderId="0" xfId="7" applyFont="1" applyFill="1" applyBorder="1" applyAlignment="1" applyProtection="1">
      <alignment horizontal="left" vertical="center"/>
    </xf>
    <xf numFmtId="0" fontId="19" fillId="3" borderId="0" xfId="7" applyFont="1" applyFill="1" applyBorder="1" applyAlignment="1" applyProtection="1">
      <alignment vertical="center"/>
    </xf>
    <xf numFmtId="0" fontId="19" fillId="0" borderId="0" xfId="7" applyFont="1" applyFill="1" applyBorder="1" applyAlignment="1" applyProtection="1">
      <alignment horizontal="center" vertical="center"/>
    </xf>
    <xf numFmtId="0" fontId="19" fillId="0" borderId="1" xfId="7" applyFont="1" applyFill="1" applyBorder="1" applyAlignment="1" applyProtection="1">
      <alignment horizontal="center" vertical="center"/>
    </xf>
    <xf numFmtId="0" fontId="19" fillId="0" borderId="1" xfId="7" applyFont="1" applyFill="1" applyBorder="1" applyAlignment="1" applyProtection="1">
      <alignment vertical="center"/>
    </xf>
    <xf numFmtId="4" fontId="19" fillId="14" borderId="1" xfId="7" applyNumberFormat="1" applyFont="1" applyFill="1" applyBorder="1" applyAlignment="1" applyProtection="1">
      <alignment horizontal="center" vertical="center"/>
    </xf>
    <xf numFmtId="4" fontId="87" fillId="3" borderId="1" xfId="0" applyNumberFormat="1" applyFont="1" applyFill="1" applyBorder="1"/>
    <xf numFmtId="0" fontId="113" fillId="3" borderId="0" xfId="7" applyFont="1" applyFill="1" applyBorder="1" applyAlignment="1">
      <alignment horizontal="center" vertical="center"/>
    </xf>
    <xf numFmtId="0" fontId="113" fillId="3" borderId="0" xfId="0" applyFont="1" applyFill="1" applyBorder="1" applyAlignment="1">
      <alignment horizontal="center"/>
    </xf>
    <xf numFmtId="0" fontId="113" fillId="3" borderId="0" xfId="7" applyFont="1" applyFill="1" applyBorder="1" applyAlignment="1" applyProtection="1">
      <alignment horizontal="center" vertical="center"/>
      <protection locked="0"/>
    </xf>
    <xf numFmtId="182" fontId="113" fillId="3" borderId="0" xfId="0" applyNumberFormat="1" applyFont="1" applyFill="1" applyBorder="1" applyAlignment="1" applyProtection="1">
      <alignment horizontal="center"/>
    </xf>
    <xf numFmtId="182" fontId="114" fillId="3" borderId="0" xfId="0" applyNumberFormat="1" applyFont="1" applyFill="1" applyBorder="1" applyAlignment="1" applyProtection="1">
      <alignment horizontal="center"/>
    </xf>
    <xf numFmtId="0" fontId="115" fillId="3" borderId="0" xfId="0" applyFont="1" applyFill="1" applyBorder="1" applyAlignment="1" applyProtection="1">
      <alignment horizontal="center" wrapText="1"/>
    </xf>
    <xf numFmtId="1" fontId="113" fillId="3" borderId="0" xfId="0" applyNumberFormat="1" applyFont="1" applyFill="1" applyBorder="1" applyAlignment="1" applyProtection="1">
      <alignment horizontal="center"/>
    </xf>
    <xf numFmtId="182" fontId="115" fillId="3" borderId="0" xfId="0" applyNumberFormat="1" applyFont="1" applyFill="1" applyBorder="1" applyAlignment="1" applyProtection="1">
      <alignment horizontal="center"/>
    </xf>
    <xf numFmtId="3" fontId="113" fillId="3" borderId="0" xfId="7" applyNumberFormat="1" applyFont="1" applyFill="1" applyBorder="1" applyAlignment="1" applyProtection="1">
      <alignment horizontal="center" vertical="center"/>
    </xf>
    <xf numFmtId="182" fontId="115" fillId="3" borderId="0" xfId="0" applyNumberFormat="1" applyFont="1" applyFill="1" applyBorder="1" applyAlignment="1">
      <alignment horizontal="center"/>
    </xf>
    <xf numFmtId="4" fontId="87" fillId="3" borderId="9" xfId="0" applyNumberFormat="1" applyFont="1" applyFill="1" applyBorder="1" applyProtection="1">
      <protection locked="0"/>
    </xf>
    <xf numFmtId="0" fontId="14" fillId="3" borderId="1" xfId="7" applyFont="1" applyFill="1" applyBorder="1" applyAlignment="1" applyProtection="1">
      <alignment horizontal="center" vertical="center"/>
      <protection locked="0"/>
    </xf>
    <xf numFmtId="0" fontId="4" fillId="0" borderId="26" xfId="7" applyFont="1" applyFill="1" applyBorder="1" applyAlignment="1">
      <alignment horizontal="center" vertical="center"/>
    </xf>
    <xf numFmtId="14" fontId="25" fillId="3" borderId="27" xfId="7" applyNumberFormat="1" applyFont="1" applyFill="1" applyBorder="1" applyAlignment="1">
      <alignment horizontal="left" vertical="center"/>
    </xf>
    <xf numFmtId="0" fontId="4" fillId="3" borderId="28" xfId="7" applyFont="1" applyFill="1" applyBorder="1" applyAlignment="1">
      <alignment horizontal="left" vertical="center" wrapText="1" indent="2"/>
    </xf>
    <xf numFmtId="4" fontId="4" fillId="3" borderId="29" xfId="7" applyNumberFormat="1" applyFont="1" applyFill="1" applyBorder="1" applyAlignment="1">
      <alignment horizontal="center" vertical="center" wrapText="1"/>
    </xf>
    <xf numFmtId="4" fontId="4" fillId="3" borderId="27" xfId="7" applyNumberFormat="1" applyFont="1" applyFill="1" applyBorder="1" applyAlignment="1">
      <alignment horizontal="center" vertical="center" wrapText="1"/>
    </xf>
    <xf numFmtId="4" fontId="4" fillId="3" borderId="30" xfId="7" applyNumberFormat="1" applyFont="1" applyFill="1" applyBorder="1" applyAlignment="1">
      <alignment horizontal="center" vertical="center" wrapText="1"/>
    </xf>
    <xf numFmtId="4" fontId="14" fillId="0" borderId="0" xfId="7" applyNumberFormat="1" applyFont="1" applyFill="1" applyBorder="1" applyAlignment="1" applyProtection="1">
      <alignment horizontal="center" vertical="center"/>
      <protection locked="0"/>
    </xf>
    <xf numFmtId="180" fontId="45" fillId="0" borderId="1" xfId="7" applyNumberFormat="1" applyFont="1" applyFill="1" applyBorder="1" applyAlignment="1" applyProtection="1">
      <alignment vertical="center"/>
      <protection locked="0"/>
    </xf>
    <xf numFmtId="4" fontId="91" fillId="0" borderId="1" xfId="0" applyNumberFormat="1" applyFont="1" applyFill="1" applyBorder="1" applyProtection="1">
      <protection locked="0"/>
    </xf>
    <xf numFmtId="0" fontId="104" fillId="3" borderId="0" xfId="0" applyFont="1" applyFill="1" applyBorder="1" applyAlignment="1">
      <alignment horizontal="center" vertical="center"/>
    </xf>
    <xf numFmtId="0" fontId="116" fillId="3" borderId="0" xfId="0" applyFont="1" applyFill="1" applyBorder="1" applyAlignment="1">
      <alignment horizontal="center" vertical="center" wrapText="1"/>
    </xf>
    <xf numFmtId="182" fontId="10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03" fillId="3" borderId="0" xfId="0" applyFont="1" applyFill="1" applyBorder="1" applyAlignment="1" applyProtection="1">
      <alignment horizontal="center" vertical="center"/>
      <protection locked="0"/>
    </xf>
    <xf numFmtId="0" fontId="107" fillId="3" borderId="0" xfId="0" applyFont="1" applyFill="1" applyAlignment="1">
      <alignment vertical="center"/>
    </xf>
    <xf numFmtId="0" fontId="104" fillId="3" borderId="0" xfId="0" applyFont="1" applyFill="1" applyBorder="1" applyAlignment="1" applyProtection="1">
      <alignment vertical="center" wrapText="1"/>
      <protection locked="0"/>
    </xf>
    <xf numFmtId="0" fontId="91" fillId="3" borderId="1" xfId="0" applyFont="1" applyFill="1" applyBorder="1" applyAlignment="1">
      <alignment horizontal="left" vertical="center" wrapText="1"/>
    </xf>
    <xf numFmtId="16" fontId="19" fillId="3" borderId="31" xfId="7" applyNumberFormat="1" applyFont="1" applyFill="1" applyBorder="1" applyAlignment="1">
      <alignment horizontal="left" wrapText="1" indent="2"/>
    </xf>
    <xf numFmtId="4" fontId="91" fillId="0" borderId="27" xfId="0" applyNumberFormat="1" applyFont="1" applyBorder="1" applyProtection="1">
      <protection locked="0"/>
    </xf>
    <xf numFmtId="3" fontId="10" fillId="3" borderId="1" xfId="7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9" xfId="7" applyFont="1" applyFill="1" applyBorder="1" applyAlignment="1">
      <alignment horizontal="center" vertical="center" wrapText="1"/>
    </xf>
    <xf numFmtId="0" fontId="4" fillId="3" borderId="12" xfId="7" applyFont="1" applyFill="1" applyBorder="1" applyAlignment="1">
      <alignment horizontal="center" vertical="center" wrapText="1"/>
    </xf>
    <xf numFmtId="16" fontId="19" fillId="3" borderId="2" xfId="7" applyNumberFormat="1" applyFont="1" applyFill="1" applyBorder="1" applyAlignment="1">
      <alignment horizontal="left" wrapText="1" indent="2"/>
    </xf>
    <xf numFmtId="16" fontId="19" fillId="3" borderId="8" xfId="7" applyNumberFormat="1" applyFont="1" applyFill="1" applyBorder="1" applyAlignment="1">
      <alignment horizontal="left" wrapText="1" indent="2"/>
    </xf>
    <xf numFmtId="0" fontId="87" fillId="0" borderId="3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4" fontId="10" fillId="3" borderId="1" xfId="7" applyNumberFormat="1" applyFont="1" applyFill="1" applyBorder="1" applyAlignment="1" applyProtection="1">
      <alignment horizontal="center" vertical="center" wrapText="1"/>
    </xf>
    <xf numFmtId="4" fontId="10" fillId="3" borderId="10" xfId="7" applyNumberFormat="1" applyFont="1" applyFill="1" applyBorder="1" applyAlignment="1" applyProtection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4" fontId="4" fillId="15" borderId="1" xfId="7" applyNumberFormat="1" applyFont="1" applyFill="1" applyBorder="1" applyAlignment="1" applyProtection="1">
      <alignment horizontal="center" vertical="center"/>
    </xf>
    <xf numFmtId="4" fontId="4" fillId="3" borderId="1" xfId="7" applyNumberFormat="1" applyFont="1" applyFill="1" applyBorder="1" applyAlignment="1" applyProtection="1">
      <alignment horizontal="center" vertical="center"/>
      <protection locked="0"/>
    </xf>
    <xf numFmtId="4" fontId="18" fillId="15" borderId="5" xfId="7" applyNumberFormat="1" applyFont="1" applyFill="1" applyBorder="1" applyAlignment="1">
      <alignment horizontal="center" vertical="center"/>
    </xf>
    <xf numFmtId="4" fontId="4" fillId="15" borderId="10" xfId="7" applyNumberFormat="1" applyFont="1" applyFill="1" applyBorder="1" applyAlignment="1" applyProtection="1">
      <alignment horizontal="center" vertical="center"/>
    </xf>
    <xf numFmtId="4" fontId="8" fillId="15" borderId="11" xfId="7" applyNumberFormat="1" applyFont="1" applyFill="1" applyBorder="1" applyAlignment="1">
      <alignment horizontal="center" vertical="center"/>
    </xf>
    <xf numFmtId="0" fontId="8" fillId="3" borderId="18" xfId="7" applyFont="1" applyFill="1" applyBorder="1" applyAlignment="1">
      <alignment horizontal="center" vertical="center"/>
    </xf>
    <xf numFmtId="4" fontId="8" fillId="15" borderId="25" xfId="7" applyNumberFormat="1" applyFont="1" applyFill="1" applyBorder="1" applyAlignment="1">
      <alignment horizontal="center" vertical="center"/>
    </xf>
    <xf numFmtId="4" fontId="18" fillId="15" borderId="9" xfId="7" applyNumberFormat="1" applyFont="1" applyFill="1" applyBorder="1" applyAlignment="1">
      <alignment horizontal="center" vertical="center"/>
    </xf>
    <xf numFmtId="4" fontId="4" fillId="3" borderId="22" xfId="7" applyNumberFormat="1" applyFont="1" applyFill="1" applyBorder="1" applyAlignment="1" applyProtection="1">
      <alignment horizontal="center" vertical="center"/>
      <protection locked="0"/>
    </xf>
    <xf numFmtId="4" fontId="8" fillId="15" borderId="18" xfId="7" applyNumberFormat="1" applyFont="1" applyFill="1" applyBorder="1" applyAlignment="1">
      <alignment horizontal="center" vertical="center"/>
    </xf>
    <xf numFmtId="4" fontId="8" fillId="15" borderId="2" xfId="7" applyNumberFormat="1" applyFont="1" applyFill="1" applyBorder="1" applyAlignment="1">
      <alignment horizontal="center" vertical="center"/>
    </xf>
    <xf numFmtId="4" fontId="8" fillId="15" borderId="8" xfId="7" applyNumberFormat="1" applyFont="1" applyFill="1" applyBorder="1" applyAlignment="1">
      <alignment horizontal="center" vertical="center"/>
    </xf>
    <xf numFmtId="4" fontId="8" fillId="15" borderId="2" xfId="7" applyNumberFormat="1" applyFont="1" applyFill="1" applyBorder="1" applyAlignment="1" applyProtection="1">
      <alignment horizontal="center" vertical="center"/>
    </xf>
    <xf numFmtId="4" fontId="8" fillId="15" borderId="8" xfId="7" applyNumberFormat="1" applyFont="1" applyFill="1" applyBorder="1" applyAlignment="1" applyProtection="1">
      <alignment horizontal="center" vertical="center"/>
    </xf>
    <xf numFmtId="3" fontId="4" fillId="3" borderId="5" xfId="7" applyNumberFormat="1" applyFont="1" applyFill="1" applyBorder="1" applyAlignment="1">
      <alignment horizontal="center" vertical="center"/>
    </xf>
    <xf numFmtId="181" fontId="4" fillId="6" borderId="17" xfId="7" applyNumberFormat="1" applyFont="1" applyFill="1" applyBorder="1" applyAlignment="1" applyProtection="1">
      <alignment horizontal="right" vertical="center"/>
    </xf>
    <xf numFmtId="182" fontId="91" fillId="3" borderId="0" xfId="0" applyNumberFormat="1" applyFont="1" applyFill="1" applyBorder="1" applyAlignment="1" applyProtection="1">
      <alignment horizontal="center" vertical="center"/>
    </xf>
    <xf numFmtId="182" fontId="91" fillId="3" borderId="0" xfId="0" applyNumberFormat="1" applyFont="1" applyFill="1" applyBorder="1" applyAlignment="1" applyProtection="1">
      <protection locked="0"/>
    </xf>
    <xf numFmtId="0" fontId="91" fillId="3" borderId="0" xfId="0" applyFont="1" applyFill="1" applyBorder="1" applyProtection="1"/>
    <xf numFmtId="0" fontId="89" fillId="3" borderId="0" xfId="0" applyFont="1" applyFill="1" applyBorder="1" applyAlignment="1" applyProtection="1">
      <alignment horizontal="center" wrapText="1"/>
    </xf>
    <xf numFmtId="0" fontId="92" fillId="3" borderId="0" xfId="0" applyFont="1" applyFill="1" applyBorder="1" applyAlignment="1" applyProtection="1">
      <alignment horizontal="center"/>
    </xf>
    <xf numFmtId="182" fontId="91" fillId="3" borderId="0" xfId="0" applyNumberFormat="1" applyFont="1" applyFill="1" applyBorder="1" applyAlignment="1" applyProtection="1">
      <alignment horizontal="center"/>
    </xf>
    <xf numFmtId="4" fontId="8" fillId="0" borderId="1" xfId="7" applyNumberFormat="1" applyFont="1" applyFill="1" applyBorder="1" applyAlignment="1" applyProtection="1">
      <alignment horizontal="center" vertical="center"/>
      <protection locked="0"/>
    </xf>
    <xf numFmtId="4" fontId="4" fillId="3" borderId="9" xfId="7" applyNumberFormat="1" applyFont="1" applyFill="1" applyBorder="1" applyAlignment="1" applyProtection="1">
      <alignment horizontal="center" vertical="center"/>
      <protection locked="0"/>
    </xf>
    <xf numFmtId="4" fontId="11" fillId="0" borderId="1" xfId="7" applyNumberFormat="1" applyFont="1" applyFill="1" applyBorder="1" applyAlignment="1" applyProtection="1">
      <alignment horizontal="center" vertical="center"/>
      <protection locked="0"/>
    </xf>
    <xf numFmtId="0" fontId="51" fillId="0" borderId="3" xfId="0" applyFont="1" applyBorder="1"/>
    <xf numFmtId="0" fontId="54" fillId="0" borderId="3" xfId="0" applyFont="1" applyBorder="1"/>
    <xf numFmtId="0" fontId="52" fillId="0" borderId="4" xfId="0" applyFont="1" applyBorder="1"/>
    <xf numFmtId="182" fontId="11" fillId="0" borderId="1" xfId="0" applyNumberFormat="1" applyFont="1" applyFill="1" applyBorder="1" applyProtection="1">
      <protection locked="0"/>
    </xf>
    <xf numFmtId="0" fontId="6" fillId="0" borderId="3" xfId="0" applyFont="1" applyBorder="1" applyAlignment="1">
      <alignment wrapText="1"/>
    </xf>
    <xf numFmtId="0" fontId="55" fillId="0" borderId="3" xfId="0" applyFont="1" applyBorder="1" applyAlignment="1">
      <alignment wrapText="1"/>
    </xf>
    <xf numFmtId="182" fontId="6" fillId="0" borderId="16" xfId="0" applyNumberFormat="1" applyFont="1" applyFill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6" fillId="0" borderId="1" xfId="0" applyNumberFormat="1" applyFont="1" applyFill="1" applyBorder="1" applyProtection="1">
      <protection locked="0"/>
    </xf>
    <xf numFmtId="2" fontId="55" fillId="0" borderId="1" xfId="0" applyNumberFormat="1" applyFont="1" applyFill="1" applyBorder="1" applyProtection="1">
      <protection locked="0"/>
    </xf>
    <xf numFmtId="182" fontId="11" fillId="2" borderId="1" xfId="0" applyNumberFormat="1" applyFont="1" applyFill="1" applyBorder="1" applyProtection="1">
      <protection locked="0"/>
    </xf>
    <xf numFmtId="182" fontId="6" fillId="0" borderId="3" xfId="0" applyNumberFormat="1" applyFont="1" applyFill="1" applyBorder="1"/>
    <xf numFmtId="182" fontId="55" fillId="0" borderId="3" xfId="0" applyNumberFormat="1" applyFont="1" applyFill="1" applyBorder="1"/>
    <xf numFmtId="182" fontId="11" fillId="0" borderId="1" xfId="0" applyNumberFormat="1" applyFont="1" applyFill="1" applyBorder="1" applyProtection="1"/>
    <xf numFmtId="4" fontId="5" fillId="0" borderId="1" xfId="0" applyNumberFormat="1" applyFont="1" applyBorder="1" applyProtection="1">
      <protection locked="0"/>
    </xf>
    <xf numFmtId="0" fontId="4" fillId="3" borderId="32" xfId="7" applyFont="1" applyFill="1" applyBorder="1" applyAlignment="1">
      <alignment horizontal="center" vertical="center"/>
    </xf>
    <xf numFmtId="4" fontId="8" fillId="15" borderId="33" xfId="7" applyNumberFormat="1" applyFont="1" applyFill="1" applyBorder="1" applyAlignment="1">
      <alignment horizontal="center" vertical="center"/>
    </xf>
    <xf numFmtId="4" fontId="18" fillId="15" borderId="34" xfId="7" applyNumberFormat="1" applyFont="1" applyFill="1" applyBorder="1" applyAlignment="1">
      <alignment horizontal="center" vertical="center"/>
    </xf>
    <xf numFmtId="4" fontId="4" fillId="3" borderId="34" xfId="7" applyNumberFormat="1" applyFont="1" applyFill="1" applyBorder="1" applyAlignment="1" applyProtection="1">
      <alignment horizontal="center" vertical="center"/>
      <protection locked="0"/>
    </xf>
    <xf numFmtId="4" fontId="8" fillId="3" borderId="34" xfId="7" applyNumberFormat="1" applyFont="1" applyFill="1" applyBorder="1" applyAlignment="1" applyProtection="1">
      <alignment horizontal="center" vertical="center"/>
      <protection locked="0"/>
    </xf>
    <xf numFmtId="4" fontId="8" fillId="3" borderId="35" xfId="7" applyNumberFormat="1" applyFont="1" applyFill="1" applyBorder="1" applyAlignment="1" applyProtection="1">
      <alignment horizontal="center" vertical="center"/>
      <protection locked="0"/>
    </xf>
    <xf numFmtId="4" fontId="11" fillId="0" borderId="6" xfId="7" applyNumberFormat="1" applyFont="1" applyFill="1" applyBorder="1" applyAlignment="1" applyProtection="1">
      <alignment horizontal="center" vertical="center"/>
      <protection locked="0"/>
    </xf>
    <xf numFmtId="16" fontId="19" fillId="3" borderId="2" xfId="7" applyNumberFormat="1" applyFont="1" applyFill="1" applyBorder="1" applyAlignment="1">
      <alignment horizontal="center" vertical="center" wrapText="1"/>
    </xf>
    <xf numFmtId="1" fontId="19" fillId="3" borderId="5" xfId="7" applyNumberFormat="1" applyFont="1" applyFill="1" applyBorder="1" applyAlignment="1">
      <alignment horizontal="center" vertical="center" wrapText="1"/>
    </xf>
    <xf numFmtId="1" fontId="10" fillId="0" borderId="1" xfId="7" quotePrefix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" fontId="10" fillId="0" borderId="6" xfId="7" quotePrefix="1" applyNumberFormat="1" applyFont="1" applyFill="1" applyBorder="1" applyAlignment="1" applyProtection="1">
      <alignment horizontal="center" vertical="center"/>
      <protection locked="0"/>
    </xf>
    <xf numFmtId="182" fontId="10" fillId="3" borderId="6" xfId="7" applyNumberFormat="1" applyFont="1" applyFill="1" applyBorder="1" applyAlignment="1" applyProtection="1">
      <alignment vertical="center"/>
      <protection locked="0"/>
    </xf>
    <xf numFmtId="182" fontId="10" fillId="3" borderId="7" xfId="7" applyNumberFormat="1" applyFont="1" applyFill="1" applyBorder="1" applyAlignment="1" applyProtection="1">
      <alignment vertical="center"/>
      <protection locked="0"/>
    </xf>
    <xf numFmtId="3" fontId="91" fillId="5" borderId="1" xfId="0" applyNumberFormat="1" applyFont="1" applyFill="1" applyBorder="1" applyAlignment="1">
      <alignment horizontal="center" vertical="center"/>
    </xf>
    <xf numFmtId="3" fontId="91" fillId="5" borderId="5" xfId="0" applyNumberFormat="1" applyFont="1" applyFill="1" applyBorder="1" applyAlignment="1">
      <alignment horizontal="center" vertical="center"/>
    </xf>
    <xf numFmtId="3" fontId="91" fillId="5" borderId="6" xfId="0" applyNumberFormat="1" applyFont="1" applyFill="1" applyBorder="1" applyAlignment="1">
      <alignment horizontal="center" vertical="center"/>
    </xf>
    <xf numFmtId="3" fontId="91" fillId="5" borderId="7" xfId="0" applyNumberFormat="1" applyFont="1" applyFill="1" applyBorder="1" applyAlignment="1">
      <alignment horizontal="center" vertical="center"/>
    </xf>
    <xf numFmtId="0" fontId="91" fillId="5" borderId="1" xfId="0" applyFont="1" applyFill="1" applyBorder="1" applyAlignment="1">
      <alignment horizontal="center"/>
    </xf>
    <xf numFmtId="182" fontId="11" fillId="5" borderId="1" xfId="0" applyNumberFormat="1" applyFont="1" applyFill="1" applyBorder="1"/>
    <xf numFmtId="182" fontId="13" fillId="5" borderId="1" xfId="0" applyNumberFormat="1" applyFont="1" applyFill="1" applyBorder="1"/>
    <xf numFmtId="182" fontId="11" fillId="5" borderId="1" xfId="0" applyNumberFormat="1" applyFont="1" applyFill="1" applyBorder="1" applyProtection="1"/>
    <xf numFmtId="182" fontId="11" fillId="5" borderId="5" xfId="0" applyNumberFormat="1" applyFont="1" applyFill="1" applyBorder="1" applyProtection="1"/>
    <xf numFmtId="180" fontId="4" fillId="5" borderId="1" xfId="7" applyNumberFormat="1" applyFont="1" applyFill="1" applyBorder="1" applyAlignment="1" applyProtection="1">
      <alignment horizontal="right" vertical="center"/>
    </xf>
    <xf numFmtId="182" fontId="18" fillId="5" borderId="6" xfId="0" applyNumberFormat="1" applyFont="1" applyFill="1" applyBorder="1"/>
    <xf numFmtId="182" fontId="6" fillId="5" borderId="6" xfId="0" applyNumberFormat="1" applyFont="1" applyFill="1" applyBorder="1"/>
    <xf numFmtId="182" fontId="55" fillId="5" borderId="6" xfId="0" applyNumberFormat="1" applyFont="1" applyFill="1" applyBorder="1"/>
    <xf numFmtId="0" fontId="89" fillId="5" borderId="16" xfId="0" applyFont="1" applyFill="1" applyBorder="1" applyAlignment="1">
      <alignment horizontal="center"/>
    </xf>
    <xf numFmtId="182" fontId="6" fillId="5" borderId="16" xfId="0" applyNumberFormat="1" applyFont="1" applyFill="1" applyBorder="1"/>
    <xf numFmtId="182" fontId="55" fillId="5" borderId="16" xfId="0" applyNumberFormat="1" applyFont="1" applyFill="1" applyBorder="1"/>
    <xf numFmtId="0" fontId="100" fillId="0" borderId="1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/>
    </xf>
    <xf numFmtId="182" fontId="13" fillId="0" borderId="1" xfId="0" applyNumberFormat="1" applyFont="1" applyFill="1" applyBorder="1" applyProtection="1">
      <protection locked="0"/>
    </xf>
    <xf numFmtId="182" fontId="55" fillId="0" borderId="16" xfId="0" applyNumberFormat="1" applyFont="1" applyFill="1" applyBorder="1" applyProtection="1">
      <protection locked="0"/>
    </xf>
    <xf numFmtId="0" fontId="13" fillId="0" borderId="1" xfId="0" applyFont="1" applyBorder="1" applyAlignment="1">
      <alignment horizontal="center"/>
    </xf>
    <xf numFmtId="182" fontId="13" fillId="2" borderId="1" xfId="0" applyNumberFormat="1" applyFont="1" applyFill="1" applyBorder="1" applyProtection="1">
      <protection locked="0"/>
    </xf>
    <xf numFmtId="180" fontId="7" fillId="5" borderId="1" xfId="7" applyNumberFormat="1" applyFont="1" applyFill="1" applyBorder="1" applyAlignment="1" applyProtection="1">
      <alignment horizontal="right" vertical="center"/>
    </xf>
    <xf numFmtId="182" fontId="13" fillId="0" borderId="1" xfId="0" applyNumberFormat="1" applyFont="1" applyFill="1" applyBorder="1" applyProtection="1"/>
    <xf numFmtId="0" fontId="117" fillId="0" borderId="0" xfId="7" applyFont="1" applyFill="1" applyBorder="1" applyAlignment="1">
      <alignment vertical="center"/>
    </xf>
    <xf numFmtId="0" fontId="57" fillId="0" borderId="3" xfId="0" applyFont="1" applyBorder="1"/>
    <xf numFmtId="0" fontId="117" fillId="0" borderId="0" xfId="7" applyFont="1" applyFill="1" applyBorder="1" applyAlignment="1" applyProtection="1">
      <alignment vertical="center"/>
      <protection locked="0"/>
    </xf>
    <xf numFmtId="0" fontId="104" fillId="0" borderId="36" xfId="0" applyFont="1" applyFill="1" applyBorder="1" applyAlignment="1" applyProtection="1">
      <alignment horizontal="center" vertical="center" wrapText="1"/>
    </xf>
    <xf numFmtId="0" fontId="104" fillId="0" borderId="3" xfId="0" applyFont="1" applyFill="1" applyBorder="1" applyAlignment="1" applyProtection="1">
      <alignment horizontal="center" vertical="center" wrapText="1"/>
    </xf>
    <xf numFmtId="0" fontId="104" fillId="0" borderId="37" xfId="0" applyFont="1" applyBorder="1" applyAlignment="1">
      <alignment horizontal="center"/>
    </xf>
    <xf numFmtId="0" fontId="104" fillId="0" borderId="24" xfId="0" applyFont="1" applyBorder="1" applyAlignment="1">
      <alignment horizontal="center"/>
    </xf>
    <xf numFmtId="0" fontId="104" fillId="0" borderId="20" xfId="0" applyFont="1" applyBorder="1" applyAlignment="1">
      <alignment horizontal="center"/>
    </xf>
    <xf numFmtId="0" fontId="104" fillId="0" borderId="15" xfId="0" applyFont="1" applyBorder="1" applyAlignment="1">
      <alignment horizontal="center"/>
    </xf>
    <xf numFmtId="0" fontId="104" fillId="0" borderId="16" xfId="0" applyFont="1" applyBorder="1" applyAlignment="1">
      <alignment horizontal="center"/>
    </xf>
    <xf numFmtId="0" fontId="104" fillId="0" borderId="19" xfId="0" applyFont="1" applyBorder="1" applyAlignment="1">
      <alignment horizontal="center"/>
    </xf>
    <xf numFmtId="0" fontId="104" fillId="0" borderId="10" xfId="0" applyFont="1" applyFill="1" applyBorder="1" applyAlignment="1" applyProtection="1">
      <alignment horizontal="center" vertical="center" wrapText="1"/>
    </xf>
    <xf numFmtId="4" fontId="10" fillId="3" borderId="4" xfId="7" applyNumberFormat="1" applyFont="1" applyFill="1" applyBorder="1" applyAlignment="1" applyProtection="1">
      <alignment horizontal="center" vertical="center" wrapText="1"/>
    </xf>
    <xf numFmtId="4" fontId="103" fillId="7" borderId="6" xfId="0" applyNumberFormat="1" applyFont="1" applyFill="1" applyBorder="1" applyAlignment="1" applyProtection="1">
      <alignment horizontal="center"/>
      <protection locked="0"/>
    </xf>
    <xf numFmtId="4" fontId="10" fillId="3" borderId="2" xfId="7" applyNumberFormat="1" applyFont="1" applyFill="1" applyBorder="1" applyAlignment="1" applyProtection="1">
      <alignment horizontal="center" vertical="center" wrapText="1"/>
    </xf>
    <xf numFmtId="4" fontId="10" fillId="3" borderId="5" xfId="7" applyNumberFormat="1" applyFont="1" applyFill="1" applyBorder="1" applyAlignment="1" applyProtection="1">
      <alignment horizontal="center" vertical="center" wrapText="1"/>
    </xf>
    <xf numFmtId="0" fontId="104" fillId="0" borderId="2" xfId="0" applyFont="1" applyFill="1" applyBorder="1" applyAlignment="1" applyProtection="1">
      <alignment horizontal="center" vertical="center" wrapText="1"/>
    </xf>
    <xf numFmtId="0" fontId="104" fillId="0" borderId="1" xfId="0" applyFont="1" applyFill="1" applyBorder="1" applyAlignment="1" applyProtection="1">
      <alignment horizontal="center" vertical="center" wrapText="1"/>
    </xf>
    <xf numFmtId="4" fontId="103" fillId="7" borderId="8" xfId="0" applyNumberFormat="1" applyFont="1" applyFill="1" applyBorder="1" applyAlignment="1" applyProtection="1">
      <alignment horizontal="center"/>
      <protection locked="0"/>
    </xf>
    <xf numFmtId="0" fontId="104" fillId="0" borderId="38" xfId="0" applyFont="1" applyFill="1" applyBorder="1" applyAlignment="1" applyProtection="1">
      <alignment horizontal="center" vertical="center" wrapText="1"/>
    </xf>
    <xf numFmtId="0" fontId="104" fillId="0" borderId="39" xfId="0" applyFont="1" applyBorder="1" applyAlignment="1">
      <alignment horizontal="center"/>
    </xf>
    <xf numFmtId="4" fontId="10" fillId="3" borderId="9" xfId="7" applyNumberFormat="1" applyFont="1" applyFill="1" applyBorder="1" applyAlignment="1" applyProtection="1">
      <alignment horizontal="center" vertical="center" wrapText="1"/>
    </xf>
    <xf numFmtId="180" fontId="102" fillId="0" borderId="9" xfId="0" applyNumberFormat="1" applyFont="1" applyFill="1" applyBorder="1" applyAlignment="1" applyProtection="1">
      <alignment horizontal="center"/>
    </xf>
    <xf numFmtId="0" fontId="104" fillId="0" borderId="9" xfId="0" applyFont="1" applyFill="1" applyBorder="1" applyAlignment="1" applyProtection="1">
      <alignment horizontal="center" vertical="center" wrapText="1"/>
    </xf>
    <xf numFmtId="180" fontId="103" fillId="7" borderId="9" xfId="0" applyNumberFormat="1" applyFont="1" applyFill="1" applyBorder="1" applyAlignment="1" applyProtection="1">
      <alignment horizontal="center"/>
    </xf>
    <xf numFmtId="4" fontId="103" fillId="7" borderId="22" xfId="0" applyNumberFormat="1" applyFont="1" applyFill="1" applyBorder="1" applyAlignment="1" applyProtection="1">
      <alignment horizontal="center"/>
      <protection locked="0"/>
    </xf>
    <xf numFmtId="4" fontId="103" fillId="7" borderId="1" xfId="0" applyNumberFormat="1" applyFont="1" applyFill="1" applyBorder="1" applyAlignment="1" applyProtection="1">
      <alignment horizontal="center"/>
      <protection locked="0"/>
    </xf>
    <xf numFmtId="0" fontId="104" fillId="0" borderId="14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 applyProtection="1">
      <alignment horizontal="center" vertical="center"/>
      <protection locked="0"/>
    </xf>
    <xf numFmtId="4" fontId="103" fillId="7" borderId="2" xfId="0" applyNumberFormat="1" applyFont="1" applyFill="1" applyBorder="1" applyAlignment="1" applyProtection="1">
      <alignment horizontal="center"/>
      <protection locked="0"/>
    </xf>
    <xf numFmtId="0" fontId="104" fillId="0" borderId="18" xfId="0" applyFont="1" applyFill="1" applyBorder="1" applyAlignment="1" applyProtection="1">
      <alignment horizontal="center" vertical="center" wrapText="1"/>
    </xf>
    <xf numFmtId="0" fontId="104" fillId="3" borderId="8" xfId="0" applyFont="1" applyFill="1" applyBorder="1" applyAlignment="1">
      <alignment horizontal="center" vertical="center" wrapText="1"/>
    </xf>
    <xf numFmtId="0" fontId="104" fillId="0" borderId="6" xfId="0" applyFont="1" applyBorder="1" applyAlignment="1">
      <alignment horizontal="center" vertical="center" wrapText="1"/>
    </xf>
    <xf numFmtId="0" fontId="104" fillId="0" borderId="7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/>
    </xf>
    <xf numFmtId="0" fontId="104" fillId="0" borderId="40" xfId="0" applyFont="1" applyBorder="1" applyAlignment="1">
      <alignment horizontal="center"/>
    </xf>
    <xf numFmtId="0" fontId="104" fillId="0" borderId="14" xfId="0" applyFont="1" applyBorder="1"/>
    <xf numFmtId="0" fontId="104" fillId="6" borderId="4" xfId="0" applyFont="1" applyFill="1" applyBorder="1" applyAlignment="1">
      <alignment horizontal="center"/>
    </xf>
    <xf numFmtId="4" fontId="104" fillId="5" borderId="14" xfId="0" applyNumberFormat="1" applyFont="1" applyFill="1" applyBorder="1" applyAlignment="1">
      <alignment horizontal="right"/>
    </xf>
    <xf numFmtId="4" fontId="104" fillId="5" borderId="3" xfId="0" applyNumberFormat="1" applyFont="1" applyFill="1" applyBorder="1" applyAlignment="1">
      <alignment horizontal="right"/>
    </xf>
    <xf numFmtId="4" fontId="104" fillId="5" borderId="38" xfId="0" applyNumberFormat="1" applyFont="1" applyFill="1" applyBorder="1" applyAlignment="1">
      <alignment horizontal="right"/>
    </xf>
    <xf numFmtId="4" fontId="104" fillId="5" borderId="14" xfId="0" applyNumberFormat="1" applyFont="1" applyFill="1" applyBorder="1" applyAlignment="1">
      <alignment horizontal="center"/>
    </xf>
    <xf numFmtId="4" fontId="104" fillId="5" borderId="3" xfId="0" applyNumberFormat="1" applyFont="1" applyFill="1" applyBorder="1" applyAlignment="1">
      <alignment horizontal="center"/>
    </xf>
    <xf numFmtId="4" fontId="104" fillId="5" borderId="38" xfId="0" applyNumberFormat="1" applyFont="1" applyFill="1" applyBorder="1" applyAlignment="1">
      <alignment horizontal="center"/>
    </xf>
    <xf numFmtId="4" fontId="104" fillId="5" borderId="41" xfId="0" applyNumberFormat="1" applyFont="1" applyFill="1" applyBorder="1" applyAlignment="1" applyProtection="1">
      <alignment horizontal="right"/>
    </xf>
    <xf numFmtId="4" fontId="104" fillId="5" borderId="10" xfId="0" applyNumberFormat="1" applyFont="1" applyFill="1" applyBorder="1" applyAlignment="1" applyProtection="1">
      <alignment horizontal="right"/>
    </xf>
    <xf numFmtId="4" fontId="104" fillId="5" borderId="25" xfId="0" applyNumberFormat="1" applyFont="1" applyFill="1" applyBorder="1" applyAlignment="1" applyProtection="1">
      <alignment horizontal="right"/>
    </xf>
    <xf numFmtId="0" fontId="104" fillId="0" borderId="2" xfId="0" applyFont="1" applyBorder="1"/>
    <xf numFmtId="0" fontId="103" fillId="0" borderId="5" xfId="0" applyFont="1" applyFill="1" applyBorder="1" applyAlignment="1">
      <alignment horizontal="center"/>
    </xf>
    <xf numFmtId="4" fontId="104" fillId="5" borderId="2" xfId="0" applyNumberFormat="1" applyFont="1" applyFill="1" applyBorder="1" applyAlignment="1">
      <alignment horizontal="right"/>
    </xf>
    <xf numFmtId="4" fontId="104" fillId="0" borderId="1" xfId="0" applyNumberFormat="1" applyFont="1" applyFill="1" applyBorder="1" applyAlignment="1" applyProtection="1">
      <alignment horizontal="right"/>
      <protection locked="0"/>
    </xf>
    <xf numFmtId="4" fontId="104" fillId="0" borderId="9" xfId="0" applyNumberFormat="1" applyFont="1" applyFill="1" applyBorder="1" applyAlignment="1" applyProtection="1">
      <alignment horizontal="right"/>
      <protection locked="0"/>
    </xf>
    <xf numFmtId="4" fontId="104" fillId="5" borderId="42" xfId="0" applyNumberFormat="1" applyFont="1" applyFill="1" applyBorder="1" applyAlignment="1" applyProtection="1">
      <alignment horizontal="right"/>
    </xf>
    <xf numFmtId="4" fontId="104" fillId="7" borderId="1" xfId="0" applyNumberFormat="1" applyFont="1" applyFill="1" applyBorder="1" applyAlignment="1" applyProtection="1">
      <alignment horizontal="right"/>
    </xf>
    <xf numFmtId="4" fontId="104" fillId="16" borderId="1" xfId="0" applyNumberFormat="1" applyFont="1" applyFill="1" applyBorder="1" applyAlignment="1" applyProtection="1">
      <alignment horizontal="right"/>
    </xf>
    <xf numFmtId="4" fontId="104" fillId="15" borderId="1" xfId="0" applyNumberFormat="1" applyFont="1" applyFill="1" applyBorder="1" applyAlignment="1" applyProtection="1">
      <alignment horizontal="right"/>
    </xf>
    <xf numFmtId="4" fontId="104" fillId="15" borderId="9" xfId="0" applyNumberFormat="1" applyFont="1" applyFill="1" applyBorder="1" applyAlignment="1" applyProtection="1">
      <alignment horizontal="right"/>
    </xf>
    <xf numFmtId="0" fontId="104" fillId="0" borderId="5" xfId="0" applyFont="1" applyFill="1" applyBorder="1" applyAlignment="1">
      <alignment horizontal="center"/>
    </xf>
    <xf numFmtId="4" fontId="104" fillId="5" borderId="1" xfId="0" applyNumberFormat="1" applyFont="1" applyFill="1" applyBorder="1" applyAlignment="1">
      <alignment horizontal="right"/>
    </xf>
    <xf numFmtId="4" fontId="104" fillId="5" borderId="9" xfId="0" applyNumberFormat="1" applyFont="1" applyFill="1" applyBorder="1" applyAlignment="1">
      <alignment horizontal="right"/>
    </xf>
    <xf numFmtId="4" fontId="104" fillId="5" borderId="2" xfId="0" applyNumberFormat="1" applyFont="1" applyFill="1" applyBorder="1" applyAlignment="1">
      <alignment horizontal="center"/>
    </xf>
    <xf numFmtId="4" fontId="104" fillId="5" borderId="1" xfId="0" applyNumberFormat="1" applyFont="1" applyFill="1" applyBorder="1" applyAlignment="1">
      <alignment horizontal="center"/>
    </xf>
    <xf numFmtId="4" fontId="104" fillId="5" borderId="9" xfId="0" applyNumberFormat="1" applyFont="1" applyFill="1" applyBorder="1" applyAlignment="1">
      <alignment horizontal="center"/>
    </xf>
    <xf numFmtId="4" fontId="104" fillId="11" borderId="42" xfId="0" applyNumberFormat="1" applyFont="1" applyFill="1" applyBorder="1" applyAlignment="1" applyProtection="1">
      <alignment horizontal="right"/>
    </xf>
    <xf numFmtId="4" fontId="104" fillId="17" borderId="1" xfId="0" applyNumberFormat="1" applyFont="1" applyFill="1" applyBorder="1" applyAlignment="1" applyProtection="1">
      <alignment horizontal="right"/>
    </xf>
    <xf numFmtId="0" fontId="104" fillId="0" borderId="8" xfId="0" applyFont="1" applyBorder="1"/>
    <xf numFmtId="0" fontId="104" fillId="0" borderId="7" xfId="0" applyFont="1" applyFill="1" applyBorder="1" applyAlignment="1">
      <alignment horizontal="center"/>
    </xf>
    <xf numFmtId="4" fontId="104" fillId="5" borderId="8" xfId="0" applyNumberFormat="1" applyFont="1" applyFill="1" applyBorder="1" applyAlignment="1">
      <alignment horizontal="right"/>
    </xf>
    <xf numFmtId="4" fontId="104" fillId="0" borderId="6" xfId="0" applyNumberFormat="1" applyFont="1" applyFill="1" applyBorder="1" applyAlignment="1" applyProtection="1">
      <alignment horizontal="right"/>
      <protection locked="0"/>
    </xf>
    <xf numFmtId="4" fontId="104" fillId="0" borderId="22" xfId="0" applyNumberFormat="1" applyFont="1" applyFill="1" applyBorder="1" applyAlignment="1" applyProtection="1">
      <alignment horizontal="right"/>
      <protection locked="0"/>
    </xf>
    <xf numFmtId="4" fontId="104" fillId="11" borderId="43" xfId="0" applyNumberFormat="1" applyFont="1" applyFill="1" applyBorder="1" applyAlignment="1" applyProtection="1">
      <alignment horizontal="right"/>
    </xf>
    <xf numFmtId="4" fontId="104" fillId="17" borderId="6" xfId="0" applyNumberFormat="1" applyFont="1" applyFill="1" applyBorder="1" applyAlignment="1" applyProtection="1">
      <alignment horizontal="right"/>
    </xf>
    <xf numFmtId="4" fontId="104" fillId="15" borderId="6" xfId="0" applyNumberFormat="1" applyFont="1" applyFill="1" applyBorder="1" applyAlignment="1" applyProtection="1">
      <alignment horizontal="right"/>
    </xf>
    <xf numFmtId="4" fontId="104" fillId="15" borderId="22" xfId="0" applyNumberFormat="1" applyFont="1" applyFill="1" applyBorder="1" applyAlignment="1" applyProtection="1">
      <alignment horizontal="right"/>
    </xf>
    <xf numFmtId="0" fontId="104" fillId="3" borderId="44" xfId="0" applyFont="1" applyFill="1" applyBorder="1"/>
    <xf numFmtId="0" fontId="103" fillId="3" borderId="0" xfId="0" applyFont="1" applyFill="1" applyBorder="1" applyAlignment="1">
      <alignment horizontal="left" wrapText="1" indent="4"/>
    </xf>
    <xf numFmtId="0" fontId="104" fillId="3" borderId="45" xfId="0" applyFont="1" applyFill="1" applyBorder="1" applyAlignment="1">
      <alignment horizontal="center"/>
    </xf>
    <xf numFmtId="4" fontId="104" fillId="3" borderId="44" xfId="0" applyNumberFormat="1" applyFont="1" applyFill="1" applyBorder="1" applyAlignment="1">
      <alignment horizontal="right"/>
    </xf>
    <xf numFmtId="4" fontId="104" fillId="3" borderId="0" xfId="0" applyNumberFormat="1" applyFont="1" applyFill="1" applyBorder="1" applyAlignment="1" applyProtection="1">
      <alignment horizontal="right"/>
      <protection locked="0"/>
    </xf>
    <xf numFmtId="4" fontId="104" fillId="3" borderId="45" xfId="0" applyNumberFormat="1" applyFont="1" applyFill="1" applyBorder="1" applyAlignment="1" applyProtection="1">
      <alignment horizontal="right"/>
      <protection locked="0"/>
    </xf>
    <xf numFmtId="4" fontId="104" fillId="3" borderId="0" xfId="0" applyNumberFormat="1" applyFont="1" applyFill="1" applyBorder="1" applyAlignment="1" applyProtection="1">
      <alignment horizontal="right"/>
    </xf>
    <xf numFmtId="0" fontId="104" fillId="0" borderId="15" xfId="0" applyFont="1" applyBorder="1" applyAlignment="1">
      <alignment vertical="center"/>
    </xf>
    <xf numFmtId="0" fontId="104" fillId="0" borderId="19" xfId="0" applyFont="1" applyFill="1" applyBorder="1" applyAlignment="1">
      <alignment horizontal="center"/>
    </xf>
    <xf numFmtId="4" fontId="104" fillId="5" borderId="15" xfId="0" applyNumberFormat="1" applyFont="1" applyFill="1" applyBorder="1" applyAlignment="1">
      <alignment horizontal="right"/>
    </xf>
    <xf numFmtId="4" fontId="104" fillId="3" borderId="16" xfId="0" applyNumberFormat="1" applyFont="1" applyFill="1" applyBorder="1" applyAlignment="1" applyProtection="1">
      <alignment horizontal="right"/>
      <protection locked="0"/>
    </xf>
    <xf numFmtId="4" fontId="20" fillId="2" borderId="16" xfId="0" applyNumberFormat="1" applyFont="1" applyFill="1" applyBorder="1" applyAlignment="1" applyProtection="1">
      <alignment horizontal="right"/>
      <protection locked="0"/>
    </xf>
    <xf numFmtId="4" fontId="20" fillId="0" borderId="6" xfId="0" applyNumberFormat="1" applyFont="1" applyFill="1" applyBorder="1" applyAlignment="1" applyProtection="1">
      <alignment horizontal="right"/>
      <protection locked="0"/>
    </xf>
    <xf numFmtId="4" fontId="104" fillId="5" borderId="40" xfId="0" applyNumberFormat="1" applyFont="1" applyFill="1" applyBorder="1" applyAlignment="1" applyProtection="1">
      <alignment horizontal="right"/>
    </xf>
    <xf numFmtId="4" fontId="104" fillId="0" borderId="16" xfId="0" applyNumberFormat="1" applyFont="1" applyFill="1" applyBorder="1" applyAlignment="1" applyProtection="1">
      <alignment horizontal="right"/>
    </xf>
    <xf numFmtId="4" fontId="104" fillId="17" borderId="16" xfId="0" applyNumberFormat="1" applyFont="1" applyFill="1" applyBorder="1" applyAlignment="1" applyProtection="1">
      <alignment horizontal="right"/>
    </xf>
    <xf numFmtId="4" fontId="104" fillId="15" borderId="16" xfId="0" applyNumberFormat="1" applyFont="1" applyFill="1" applyBorder="1" applyAlignment="1" applyProtection="1">
      <alignment horizontal="right"/>
    </xf>
    <xf numFmtId="4" fontId="104" fillId="15" borderId="46" xfId="0" applyNumberFormat="1" applyFont="1" applyFill="1" applyBorder="1" applyAlignment="1" applyProtection="1">
      <alignment horizontal="right"/>
    </xf>
    <xf numFmtId="0" fontId="104" fillId="3" borderId="0" xfId="0" applyFont="1" applyFill="1" applyBorder="1" applyAlignment="1">
      <alignment horizontal="left" wrapText="1"/>
    </xf>
    <xf numFmtId="4" fontId="104" fillId="3" borderId="0" xfId="0" applyNumberFormat="1" applyFont="1" applyFill="1" applyBorder="1" applyAlignment="1" applyProtection="1">
      <alignment horizontal="center"/>
    </xf>
    <xf numFmtId="4" fontId="104" fillId="5" borderId="36" xfId="0" applyNumberFormat="1" applyFont="1" applyFill="1" applyBorder="1" applyAlignment="1" applyProtection="1">
      <alignment horizontal="right"/>
    </xf>
    <xf numFmtId="4" fontId="104" fillId="15" borderId="3" xfId="0" applyNumberFormat="1" applyFont="1" applyFill="1" applyBorder="1" applyAlignment="1" applyProtection="1">
      <alignment horizontal="right"/>
    </xf>
    <xf numFmtId="4" fontId="104" fillId="15" borderId="38" xfId="0" applyNumberFormat="1" applyFont="1" applyFill="1" applyBorder="1" applyAlignment="1" applyProtection="1">
      <alignment horizontal="right"/>
    </xf>
    <xf numFmtId="4" fontId="104" fillId="3" borderId="1" xfId="0" applyNumberFormat="1" applyFont="1" applyFill="1" applyBorder="1" applyAlignment="1" applyProtection="1">
      <alignment horizontal="right"/>
      <protection locked="0"/>
    </xf>
    <xf numFmtId="4" fontId="104" fillId="0" borderId="5" xfId="0" applyNumberFormat="1" applyFont="1" applyFill="1" applyBorder="1" applyAlignment="1" applyProtection="1">
      <alignment horizontal="right"/>
      <protection locked="0"/>
    </xf>
    <xf numFmtId="0" fontId="103" fillId="0" borderId="7" xfId="0" applyFont="1" applyFill="1" applyBorder="1" applyAlignment="1">
      <alignment horizontal="center"/>
    </xf>
    <xf numFmtId="0" fontId="103" fillId="3" borderId="45" xfId="0" applyFont="1" applyFill="1" applyBorder="1" applyAlignment="1">
      <alignment horizontal="center"/>
    </xf>
    <xf numFmtId="4" fontId="104" fillId="3" borderId="45" xfId="0" applyNumberFormat="1" applyFont="1" applyFill="1" applyBorder="1" applyAlignment="1" applyProtection="1">
      <alignment horizontal="right"/>
    </xf>
    <xf numFmtId="4" fontId="104" fillId="0" borderId="3" xfId="0" applyNumberFormat="1" applyFont="1" applyFill="1" applyBorder="1" applyAlignment="1" applyProtection="1">
      <alignment horizontal="right"/>
      <protection locked="0"/>
    </xf>
    <xf numFmtId="4" fontId="104" fillId="17" borderId="16" xfId="0" applyNumberFormat="1" applyFont="1" applyFill="1" applyBorder="1" applyAlignment="1" applyProtection="1">
      <alignment horizontal="center"/>
    </xf>
    <xf numFmtId="4" fontId="102" fillId="17" borderId="16" xfId="0" applyNumberFormat="1" applyFont="1" applyFill="1" applyBorder="1" applyAlignment="1" applyProtection="1">
      <alignment horizontal="right"/>
    </xf>
    <xf numFmtId="4" fontId="104" fillId="15" borderId="19" xfId="0" applyNumberFormat="1" applyFont="1" applyFill="1" applyBorder="1" applyAlignment="1" applyProtection="1">
      <alignment horizontal="right"/>
    </xf>
    <xf numFmtId="4" fontId="104" fillId="0" borderId="2" xfId="0" applyNumberFormat="1" applyFont="1" applyFill="1" applyBorder="1" applyAlignment="1" applyProtection="1">
      <alignment horizontal="center" vertical="center"/>
    </xf>
    <xf numFmtId="4" fontId="104" fillId="0" borderId="1" xfId="0" applyNumberFormat="1" applyFont="1" applyFill="1" applyBorder="1" applyAlignment="1" applyProtection="1">
      <alignment horizontal="center" vertical="center" wrapText="1"/>
    </xf>
    <xf numFmtId="4" fontId="104" fillId="0" borderId="1" xfId="0" applyNumberFormat="1" applyFont="1" applyFill="1" applyBorder="1" applyAlignment="1" applyProtection="1">
      <alignment horizontal="center" vertical="center"/>
    </xf>
    <xf numFmtId="4" fontId="102" fillId="18" borderId="19" xfId="0" applyNumberFormat="1" applyFont="1" applyFill="1" applyBorder="1" applyAlignment="1" applyProtection="1">
      <alignment vertical="center"/>
    </xf>
    <xf numFmtId="4" fontId="102" fillId="3" borderId="0" xfId="0" applyNumberFormat="1" applyFont="1" applyFill="1" applyBorder="1" applyAlignment="1" applyProtection="1">
      <alignment vertical="center"/>
    </xf>
    <xf numFmtId="4" fontId="104" fillId="5" borderId="1" xfId="0" applyNumberFormat="1" applyFont="1" applyFill="1" applyBorder="1" applyAlignment="1" applyProtection="1">
      <alignment horizontal="center" vertical="center"/>
    </xf>
    <xf numFmtId="4" fontId="104" fillId="3" borderId="1" xfId="0" applyNumberFormat="1" applyFont="1" applyFill="1" applyBorder="1" applyAlignment="1" applyProtection="1">
      <alignment horizontal="center" vertical="center"/>
    </xf>
    <xf numFmtId="182" fontId="103" fillId="3" borderId="1" xfId="0" applyNumberFormat="1" applyFont="1" applyFill="1" applyBorder="1" applyAlignment="1" applyProtection="1">
      <alignment horizontal="center" vertical="center" wrapText="1"/>
    </xf>
    <xf numFmtId="4" fontId="104" fillId="3" borderId="1" xfId="0" applyNumberFormat="1" applyFont="1" applyFill="1" applyBorder="1" applyAlignment="1" applyProtection="1">
      <alignment horizontal="center" vertical="center" wrapText="1"/>
    </xf>
    <xf numFmtId="4" fontId="104" fillId="3" borderId="5" xfId="0" applyNumberFormat="1" applyFont="1" applyFill="1" applyBorder="1" applyAlignment="1" applyProtection="1">
      <alignment horizontal="center" vertical="center" wrapText="1"/>
    </xf>
    <xf numFmtId="182" fontId="104" fillId="3" borderId="2" xfId="0" applyNumberFormat="1" applyFont="1" applyFill="1" applyBorder="1" applyAlignment="1" applyProtection="1">
      <alignment vertical="center"/>
    </xf>
    <xf numFmtId="4" fontId="104" fillId="5" borderId="2" xfId="0" applyNumberFormat="1" applyFont="1" applyFill="1" applyBorder="1" applyAlignment="1" applyProtection="1">
      <alignment horizontal="right"/>
    </xf>
    <xf numFmtId="182" fontId="104" fillId="5" borderId="1" xfId="0" applyNumberFormat="1" applyFont="1" applyFill="1" applyBorder="1" applyAlignment="1" applyProtection="1">
      <alignment horizontal="center"/>
    </xf>
    <xf numFmtId="4" fontId="102" fillId="5" borderId="5" xfId="0" applyNumberFormat="1" applyFont="1" applyFill="1" applyBorder="1" applyAlignment="1" applyProtection="1">
      <alignment horizontal="right"/>
    </xf>
    <xf numFmtId="182" fontId="103" fillId="5" borderId="8" xfId="0" applyNumberFormat="1" applyFont="1" applyFill="1" applyBorder="1" applyProtection="1"/>
    <xf numFmtId="182" fontId="103" fillId="5" borderId="5" xfId="0" applyNumberFormat="1" applyFont="1" applyFill="1" applyBorder="1" applyProtection="1"/>
    <xf numFmtId="0" fontId="103" fillId="0" borderId="0" xfId="0" applyFont="1" applyProtection="1"/>
    <xf numFmtId="182" fontId="103" fillId="3" borderId="0" xfId="0" applyNumberFormat="1" applyFont="1" applyFill="1" applyBorder="1" applyAlignment="1" applyProtection="1">
      <alignment horizontal="right"/>
    </xf>
    <xf numFmtId="182" fontId="104" fillId="3" borderId="0" xfId="0" applyNumberFormat="1" applyFont="1" applyFill="1" applyBorder="1" applyProtection="1"/>
    <xf numFmtId="0" fontId="104" fillId="3" borderId="0" xfId="0" applyFont="1" applyFill="1" applyBorder="1" applyProtection="1"/>
    <xf numFmtId="180" fontId="102" fillId="5" borderId="5" xfId="0" applyNumberFormat="1" applyFont="1" applyFill="1" applyBorder="1" applyAlignment="1" applyProtection="1">
      <alignment horizontal="right"/>
    </xf>
    <xf numFmtId="180" fontId="104" fillId="0" borderId="0" xfId="0" applyNumberFormat="1" applyFont="1" applyFill="1" applyBorder="1" applyAlignment="1" applyProtection="1"/>
    <xf numFmtId="182" fontId="103" fillId="3" borderId="0" xfId="0" applyNumberFormat="1" applyFont="1" applyFill="1" applyBorder="1" applyAlignment="1" applyProtection="1"/>
    <xf numFmtId="4" fontId="118" fillId="5" borderId="7" xfId="0" applyNumberFormat="1" applyFont="1" applyFill="1" applyBorder="1" applyAlignment="1" applyProtection="1">
      <alignment horizontal="right"/>
    </xf>
    <xf numFmtId="4" fontId="10" fillId="3" borderId="0" xfId="7" applyNumberFormat="1" applyFont="1" applyFill="1" applyBorder="1" applyAlignment="1" applyProtection="1">
      <alignment vertical="center" wrapText="1"/>
    </xf>
    <xf numFmtId="4" fontId="118" fillId="0" borderId="0" xfId="0" applyNumberFormat="1" applyFont="1" applyFill="1" applyBorder="1" applyAlignment="1" applyProtection="1">
      <alignment horizontal="center"/>
    </xf>
    <xf numFmtId="0" fontId="104" fillId="3" borderId="12" xfId="0" applyFont="1" applyFill="1" applyBorder="1" applyAlignment="1" applyProtection="1">
      <alignment horizontal="center" vertical="center" wrapText="1"/>
    </xf>
    <xf numFmtId="0" fontId="104" fillId="0" borderId="15" xfId="0" applyFont="1" applyBorder="1" applyAlignment="1" applyProtection="1">
      <alignment horizontal="center"/>
    </xf>
    <xf numFmtId="0" fontId="104" fillId="0" borderId="16" xfId="0" applyFont="1" applyBorder="1" applyAlignment="1" applyProtection="1">
      <alignment horizontal="center"/>
    </xf>
    <xf numFmtId="0" fontId="104" fillId="0" borderId="14" xfId="0" applyFont="1" applyBorder="1" applyProtection="1"/>
    <xf numFmtId="0" fontId="104" fillId="6" borderId="3" xfId="0" applyFont="1" applyFill="1" applyBorder="1" applyAlignment="1" applyProtection="1">
      <alignment horizontal="center"/>
    </xf>
    <xf numFmtId="4" fontId="104" fillId="5" borderId="3" xfId="0" applyNumberFormat="1" applyFont="1" applyFill="1" applyBorder="1" applyAlignment="1" applyProtection="1">
      <alignment horizontal="center" vertical="center"/>
    </xf>
    <xf numFmtId="0" fontId="104" fillId="0" borderId="2" xfId="0" applyFont="1" applyBorder="1" applyProtection="1"/>
    <xf numFmtId="0" fontId="103" fillId="0" borderId="1" xfId="0" applyFont="1" applyFill="1" applyBorder="1" applyAlignment="1" applyProtection="1">
      <alignment horizontal="center"/>
    </xf>
    <xf numFmtId="4" fontId="10" fillId="5" borderId="1" xfId="0" applyNumberFormat="1" applyFont="1" applyFill="1" applyBorder="1" applyAlignment="1" applyProtection="1">
      <alignment horizontal="center" vertical="center"/>
    </xf>
    <xf numFmtId="182" fontId="103" fillId="3" borderId="1" xfId="0" applyNumberFormat="1" applyFont="1" applyFill="1" applyBorder="1" applyAlignment="1" applyProtection="1">
      <alignment horizontal="center" vertical="center"/>
    </xf>
    <xf numFmtId="4" fontId="103" fillId="3" borderId="1" xfId="0" applyNumberFormat="1" applyFont="1" applyFill="1" applyBorder="1" applyAlignment="1" applyProtection="1">
      <alignment horizontal="center" vertical="center"/>
    </xf>
    <xf numFmtId="4" fontId="104" fillId="3" borderId="1" xfId="0" applyNumberFormat="1" applyFont="1" applyFill="1" applyBorder="1" applyAlignment="1" applyProtection="1">
      <alignment horizontal="center" vertical="center"/>
      <protection locked="0"/>
    </xf>
    <xf numFmtId="0" fontId="104" fillId="0" borderId="1" xfId="0" applyFont="1" applyFill="1" applyBorder="1" applyAlignment="1" applyProtection="1">
      <alignment horizontal="center"/>
    </xf>
    <xf numFmtId="18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4" fillId="0" borderId="1" xfId="0" applyFont="1" applyBorder="1" applyProtection="1"/>
    <xf numFmtId="182" fontId="104" fillId="5" borderId="1" xfId="0" applyNumberFormat="1" applyFont="1" applyFill="1" applyBorder="1" applyAlignment="1" applyProtection="1">
      <alignment horizontal="center" vertical="center"/>
    </xf>
    <xf numFmtId="182" fontId="10" fillId="3" borderId="1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104" fillId="0" borderId="8" xfId="0" applyFont="1" applyBorder="1" applyProtection="1"/>
    <xf numFmtId="0" fontId="104" fillId="0" borderId="6" xfId="0" applyFont="1" applyBorder="1" applyProtection="1"/>
    <xf numFmtId="182" fontId="103" fillId="3" borderId="6" xfId="0" applyNumberFormat="1" applyFont="1" applyFill="1" applyBorder="1" applyAlignment="1" applyProtection="1">
      <alignment horizontal="center" vertical="center"/>
    </xf>
    <xf numFmtId="180" fontId="10" fillId="3" borderId="6" xfId="0" applyNumberFormat="1" applyFont="1" applyFill="1" applyBorder="1" applyAlignment="1" applyProtection="1">
      <alignment horizontal="center" vertical="center"/>
      <protection locked="0"/>
    </xf>
    <xf numFmtId="4" fontId="10" fillId="5" borderId="6" xfId="0" applyNumberFormat="1" applyFont="1" applyFill="1" applyBorder="1" applyAlignment="1" applyProtection="1">
      <alignment horizontal="center" vertical="center"/>
    </xf>
    <xf numFmtId="4" fontId="104" fillId="3" borderId="6" xfId="0" applyNumberFormat="1" applyFont="1" applyFill="1" applyBorder="1" applyAlignment="1" applyProtection="1">
      <alignment horizontal="center" vertical="center"/>
    </xf>
    <xf numFmtId="4" fontId="104" fillId="5" borderId="6" xfId="0" applyNumberFormat="1" applyFont="1" applyFill="1" applyBorder="1" applyAlignment="1" applyProtection="1">
      <alignment horizontal="center" vertical="center"/>
    </xf>
    <xf numFmtId="180" fontId="104" fillId="5" borderId="1" xfId="0" applyNumberFormat="1" applyFont="1" applyFill="1" applyBorder="1" applyAlignment="1" applyProtection="1">
      <alignment horizontal="center" vertical="center"/>
    </xf>
    <xf numFmtId="0" fontId="103" fillId="0" borderId="6" xfId="0" applyFont="1" applyFill="1" applyBorder="1" applyAlignment="1" applyProtection="1">
      <alignment horizontal="center"/>
    </xf>
    <xf numFmtId="0" fontId="104" fillId="0" borderId="47" xfId="0" applyFont="1" applyBorder="1" applyProtection="1"/>
    <xf numFmtId="0" fontId="103" fillId="0" borderId="48" xfId="0" applyFont="1" applyFill="1" applyBorder="1" applyAlignment="1" applyProtection="1">
      <alignment horizontal="center"/>
    </xf>
    <xf numFmtId="182" fontId="104" fillId="3" borderId="48" xfId="0" applyNumberFormat="1" applyFont="1" applyFill="1" applyBorder="1" applyAlignment="1" applyProtection="1">
      <protection locked="0"/>
    </xf>
    <xf numFmtId="182" fontId="104" fillId="5" borderId="48" xfId="0" applyNumberFormat="1" applyFont="1" applyFill="1" applyBorder="1" applyAlignment="1" applyProtection="1">
      <alignment horizontal="center"/>
    </xf>
    <xf numFmtId="0" fontId="104" fillId="0" borderId="47" xfId="0" applyFont="1" applyBorder="1" applyAlignment="1">
      <alignment horizontal="center" vertical="center"/>
    </xf>
    <xf numFmtId="0" fontId="104" fillId="0" borderId="8" xfId="0" applyFont="1" applyBorder="1" applyAlignment="1">
      <alignment horizontal="center" vertical="center"/>
    </xf>
    <xf numFmtId="0" fontId="104" fillId="0" borderId="6" xfId="0" applyFont="1" applyBorder="1" applyAlignment="1">
      <alignment horizontal="center" vertical="center"/>
    </xf>
    <xf numFmtId="0" fontId="104" fillId="0" borderId="22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49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0" fontId="104" fillId="0" borderId="18" xfId="0" applyFont="1" applyFill="1" applyBorder="1" applyAlignment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104" fillId="5" borderId="25" xfId="0" applyNumberFormat="1" applyFont="1" applyFill="1" applyBorder="1" applyAlignment="1" applyProtection="1">
      <alignment horizontal="center" vertical="center" wrapText="1"/>
    </xf>
    <xf numFmtId="4" fontId="104" fillId="5" borderId="14" xfId="0" applyNumberFormat="1" applyFont="1" applyFill="1" applyBorder="1" applyAlignment="1" applyProtection="1">
      <alignment horizontal="center" vertical="center" wrapText="1"/>
    </xf>
    <xf numFmtId="4" fontId="104" fillId="5" borderId="3" xfId="0" applyNumberFormat="1" applyFont="1" applyFill="1" applyBorder="1" applyAlignment="1" applyProtection="1">
      <alignment horizontal="center" vertical="center" wrapText="1"/>
    </xf>
    <xf numFmtId="4" fontId="10" fillId="3" borderId="38" xfId="7" applyNumberFormat="1" applyFont="1" applyFill="1" applyBorder="1" applyAlignment="1" applyProtection="1">
      <alignment horizontal="center" vertical="center" wrapText="1"/>
    </xf>
    <xf numFmtId="4" fontId="104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04" fillId="5" borderId="13" xfId="0" applyNumberFormat="1" applyFont="1" applyFill="1" applyBorder="1" applyAlignment="1" applyProtection="1">
      <alignment vertical="center" wrapText="1"/>
    </xf>
    <xf numFmtId="4" fontId="104" fillId="5" borderId="12" xfId="0" applyNumberFormat="1" applyFont="1" applyFill="1" applyBorder="1" applyAlignment="1" applyProtection="1">
      <alignment vertical="center" wrapText="1"/>
    </xf>
    <xf numFmtId="4" fontId="10" fillId="3" borderId="49" xfId="7" applyNumberFormat="1" applyFont="1" applyFill="1" applyBorder="1" applyAlignment="1" applyProtection="1">
      <alignment horizontal="center" vertical="center" wrapText="1"/>
    </xf>
    <xf numFmtId="4" fontId="104" fillId="5" borderId="2" xfId="0" applyNumberFormat="1" applyFont="1" applyFill="1" applyBorder="1" applyAlignment="1" applyProtection="1">
      <alignment vertical="center" wrapText="1"/>
    </xf>
    <xf numFmtId="4" fontId="104" fillId="5" borderId="1" xfId="0" applyNumberFormat="1" applyFont="1" applyFill="1" applyBorder="1" applyAlignment="1" applyProtection="1">
      <alignment vertical="center" wrapText="1"/>
    </xf>
    <xf numFmtId="0" fontId="104" fillId="0" borderId="2" xfId="0" applyFont="1" applyBorder="1" applyAlignment="1">
      <alignment horizontal="center" vertical="center"/>
    </xf>
    <xf numFmtId="0" fontId="104" fillId="3" borderId="2" xfId="0" applyFont="1" applyFill="1" applyBorder="1" applyAlignment="1">
      <alignment horizontal="center" vertical="center"/>
    </xf>
    <xf numFmtId="4" fontId="104" fillId="5" borderId="9" xfId="0" applyNumberFormat="1" applyFont="1" applyFill="1" applyBorder="1" applyAlignment="1" applyProtection="1">
      <alignment horizontal="center" vertical="center" wrapText="1"/>
    </xf>
    <xf numFmtId="0" fontId="104" fillId="3" borderId="8" xfId="0" applyFont="1" applyFill="1" applyBorder="1" applyAlignment="1">
      <alignment horizontal="center" vertical="center"/>
    </xf>
    <xf numFmtId="4" fontId="104" fillId="16" borderId="6" xfId="0" applyNumberFormat="1" applyFont="1" applyFill="1" applyBorder="1" applyAlignment="1" applyProtection="1">
      <alignment horizontal="center" vertical="center" wrapText="1"/>
      <protection locked="0"/>
    </xf>
    <xf numFmtId="4" fontId="104" fillId="5" borderId="22" xfId="0" applyNumberFormat="1" applyFont="1" applyFill="1" applyBorder="1" applyAlignment="1" applyProtection="1">
      <alignment horizontal="center" vertical="center" wrapText="1"/>
    </xf>
    <xf numFmtId="4" fontId="104" fillId="5" borderId="8" xfId="0" applyNumberFormat="1" applyFont="1" applyFill="1" applyBorder="1" applyAlignment="1" applyProtection="1">
      <alignment horizontal="center" vertical="center" wrapText="1"/>
    </xf>
    <xf numFmtId="4" fontId="104" fillId="5" borderId="6" xfId="0" applyNumberFormat="1" applyFont="1" applyFill="1" applyBorder="1" applyAlignment="1" applyProtection="1">
      <alignment horizontal="center" vertical="center" wrapText="1"/>
    </xf>
    <xf numFmtId="4" fontId="10" fillId="3" borderId="22" xfId="7" applyNumberFormat="1" applyFont="1" applyFill="1" applyBorder="1" applyAlignment="1" applyProtection="1">
      <alignment horizontal="center" vertical="center" wrapText="1"/>
    </xf>
    <xf numFmtId="4" fontId="10" fillId="3" borderId="7" xfId="7" applyNumberFormat="1" applyFont="1" applyFill="1" applyBorder="1" applyAlignment="1" applyProtection="1">
      <alignment horizontal="center" vertical="center" wrapText="1"/>
    </xf>
    <xf numFmtId="0" fontId="103" fillId="0" borderId="0" xfId="0" applyFont="1" applyAlignment="1">
      <alignment vertical="center"/>
    </xf>
    <xf numFmtId="0" fontId="85" fillId="0" borderId="0" xfId="0" applyFont="1"/>
    <xf numFmtId="0" fontId="10" fillId="3" borderId="1" xfId="7" applyFont="1" applyFill="1" applyBorder="1" applyAlignment="1">
      <alignment horizontal="left" vertical="center"/>
    </xf>
    <xf numFmtId="4" fontId="10" fillId="14" borderId="1" xfId="7" applyNumberFormat="1" applyFont="1" applyFill="1" applyBorder="1" applyAlignment="1" applyProtection="1">
      <alignment horizontal="center" vertical="center"/>
    </xf>
    <xf numFmtId="0" fontId="10" fillId="3" borderId="0" xfId="7" applyFont="1" applyFill="1" applyBorder="1" applyAlignment="1">
      <alignment vertical="center" wrapText="1"/>
    </xf>
    <xf numFmtId="4" fontId="10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9" fillId="3" borderId="1" xfId="7" applyFont="1" applyFill="1" applyBorder="1" applyAlignment="1">
      <alignment horizontal="left" vertical="center"/>
    </xf>
    <xf numFmtId="182" fontId="104" fillId="0" borderId="3" xfId="0" applyNumberFormat="1" applyFont="1" applyFill="1" applyBorder="1" applyAlignment="1" applyProtection="1">
      <alignment horizontal="center" vertical="center"/>
    </xf>
    <xf numFmtId="0" fontId="104" fillId="8" borderId="1" xfId="0" applyFont="1" applyFill="1" applyBorder="1" applyAlignment="1" applyProtection="1">
      <alignment horizontal="center" vertical="center" wrapText="1"/>
    </xf>
    <xf numFmtId="0" fontId="104" fillId="0" borderId="2" xfId="0" applyFont="1" applyBorder="1" applyAlignment="1" applyProtection="1">
      <alignment horizontal="center" vertical="center" wrapText="1"/>
    </xf>
    <xf numFmtId="0" fontId="104" fillId="0" borderId="5" xfId="0" applyFont="1" applyBorder="1" applyAlignment="1" applyProtection="1">
      <alignment horizontal="center" vertical="center" wrapText="1"/>
    </xf>
    <xf numFmtId="4" fontId="104" fillId="15" borderId="1" xfId="0" applyNumberFormat="1" applyFont="1" applyFill="1" applyBorder="1" applyAlignment="1" applyProtection="1">
      <alignment horizontal="right" vertical="center"/>
    </xf>
    <xf numFmtId="4" fontId="10" fillId="7" borderId="1" xfId="7" applyNumberFormat="1" applyFont="1" applyFill="1" applyBorder="1" applyAlignment="1" applyProtection="1">
      <alignment horizontal="center" vertical="center"/>
    </xf>
    <xf numFmtId="4" fontId="104" fillId="15" borderId="1" xfId="0" applyNumberFormat="1" applyFont="1" applyFill="1" applyBorder="1" applyAlignment="1" applyProtection="1">
      <alignment horizontal="center" vertical="center"/>
    </xf>
    <xf numFmtId="4" fontId="104" fillId="5" borderId="1" xfId="0" applyNumberFormat="1" applyFont="1" applyFill="1" applyBorder="1" applyAlignment="1" applyProtection="1">
      <alignment horizontal="right" vertical="center"/>
    </xf>
    <xf numFmtId="4" fontId="104" fillId="15" borderId="5" xfId="0" applyNumberFormat="1" applyFont="1" applyFill="1" applyBorder="1" applyAlignment="1" applyProtection="1">
      <alignment horizontal="right" vertical="center"/>
    </xf>
    <xf numFmtId="4" fontId="104" fillId="3" borderId="1" xfId="0" applyNumberFormat="1" applyFont="1" applyFill="1" applyBorder="1" applyAlignment="1" applyProtection="1">
      <alignment horizontal="right" vertical="center"/>
    </xf>
    <xf numFmtId="4" fontId="104" fillId="3" borderId="1" xfId="0" applyNumberFormat="1" applyFont="1" applyFill="1" applyBorder="1" applyAlignment="1" applyProtection="1">
      <alignment horizontal="right" vertical="center"/>
      <protection locked="0"/>
    </xf>
    <xf numFmtId="4" fontId="104" fillId="3" borderId="5" xfId="0" applyNumberFormat="1" applyFont="1" applyFill="1" applyBorder="1" applyAlignment="1" applyProtection="1">
      <alignment horizontal="right" vertical="center"/>
      <protection locked="0"/>
    </xf>
    <xf numFmtId="4" fontId="104" fillId="3" borderId="5" xfId="0" applyNumberFormat="1" applyFont="1" applyFill="1" applyBorder="1" applyAlignment="1" applyProtection="1">
      <alignment horizontal="right" vertical="center"/>
    </xf>
    <xf numFmtId="0" fontId="104" fillId="0" borderId="2" xfId="0" applyFont="1" applyBorder="1" applyAlignment="1" applyProtection="1">
      <alignment horizontal="center" vertical="center"/>
    </xf>
    <xf numFmtId="0" fontId="10" fillId="0" borderId="6" xfId="7" applyFont="1" applyFill="1" applyBorder="1" applyAlignment="1" applyProtection="1">
      <alignment horizontal="center" vertical="center"/>
    </xf>
    <xf numFmtId="0" fontId="10" fillId="3" borderId="6" xfId="7" applyFont="1" applyFill="1" applyBorder="1" applyAlignment="1" applyProtection="1">
      <alignment vertical="center"/>
    </xf>
    <xf numFmtId="4" fontId="104" fillId="3" borderId="6" xfId="0" applyNumberFormat="1" applyFont="1" applyFill="1" applyBorder="1" applyAlignment="1" applyProtection="1">
      <alignment horizontal="center" vertical="center" wrapText="1"/>
    </xf>
    <xf numFmtId="0" fontId="10" fillId="3" borderId="6" xfId="7" applyFont="1" applyFill="1" applyBorder="1" applyAlignment="1" applyProtection="1">
      <alignment vertical="center"/>
      <protection locked="0"/>
    </xf>
    <xf numFmtId="0" fontId="10" fillId="3" borderId="7" xfId="7" applyFont="1" applyFill="1" applyBorder="1" applyAlignment="1" applyProtection="1">
      <alignment vertical="center"/>
      <protection locked="0"/>
    </xf>
    <xf numFmtId="180" fontId="104" fillId="5" borderId="48" xfId="0" applyNumberFormat="1" applyFont="1" applyFill="1" applyBorder="1" applyAlignment="1" applyProtection="1">
      <alignment horizontal="center" vertical="center"/>
    </xf>
    <xf numFmtId="0" fontId="116" fillId="0" borderId="0" xfId="0" applyFont="1" applyBorder="1" applyAlignment="1">
      <alignment vertical="center"/>
    </xf>
    <xf numFmtId="0" fontId="104" fillId="0" borderId="49" xfId="0" applyFont="1" applyBorder="1" applyAlignment="1" applyProtection="1">
      <alignment horizontal="center" vertical="center" wrapText="1"/>
    </xf>
    <xf numFmtId="0" fontId="104" fillId="0" borderId="46" xfId="0" applyFont="1" applyBorder="1" applyAlignment="1" applyProtection="1">
      <alignment horizontal="center"/>
    </xf>
    <xf numFmtId="4" fontId="104" fillId="5" borderId="38" xfId="0" applyNumberFormat="1" applyFont="1" applyFill="1" applyBorder="1" applyAlignment="1" applyProtection="1">
      <alignment horizontal="center" vertical="center"/>
    </xf>
    <xf numFmtId="4" fontId="104" fillId="5" borderId="9" xfId="0" applyNumberFormat="1" applyFont="1" applyFill="1" applyBorder="1" applyAlignment="1" applyProtection="1">
      <alignment horizontal="center" vertical="center"/>
    </xf>
    <xf numFmtId="4" fontId="104" fillId="5" borderId="22" xfId="0" applyNumberFormat="1" applyFont="1" applyFill="1" applyBorder="1" applyAlignment="1" applyProtection="1">
      <alignment horizontal="center" vertical="center"/>
    </xf>
    <xf numFmtId="182" fontId="104" fillId="5" borderId="50" xfId="0" applyNumberFormat="1" applyFont="1" applyFill="1" applyBorder="1" applyAlignment="1" applyProtection="1">
      <alignment horizontal="center" vertical="center"/>
    </xf>
    <xf numFmtId="0" fontId="86" fillId="3" borderId="1" xfId="0" applyFont="1" applyFill="1" applyBorder="1" applyProtection="1">
      <protection locked="0"/>
    </xf>
    <xf numFmtId="0" fontId="116" fillId="3" borderId="1" xfId="0" applyFont="1" applyFill="1" applyBorder="1" applyProtection="1">
      <protection locked="0"/>
    </xf>
    <xf numFmtId="0" fontId="104" fillId="3" borderId="1" xfId="0" applyFont="1" applyFill="1" applyBorder="1" applyProtection="1">
      <protection locked="0"/>
    </xf>
    <xf numFmtId="182" fontId="103" fillId="3" borderId="1" xfId="0" applyNumberFormat="1" applyFont="1" applyFill="1" applyBorder="1" applyProtection="1">
      <protection locked="0"/>
    </xf>
    <xf numFmtId="182" fontId="103" fillId="3" borderId="1" xfId="0" applyNumberFormat="1" applyFont="1" applyFill="1" applyBorder="1" applyAlignment="1" applyProtection="1">
      <alignment horizontal="center"/>
      <protection locked="0"/>
    </xf>
    <xf numFmtId="182" fontId="92" fillId="3" borderId="1" xfId="0" applyNumberFormat="1" applyFont="1" applyFill="1" applyBorder="1" applyProtection="1">
      <protection locked="0"/>
    </xf>
    <xf numFmtId="182" fontId="92" fillId="3" borderId="1" xfId="0" applyNumberFormat="1" applyFont="1" applyFill="1" applyBorder="1" applyAlignment="1" applyProtection="1">
      <alignment horizontal="center"/>
      <protection locked="0"/>
    </xf>
    <xf numFmtId="182" fontId="120" fillId="3" borderId="1" xfId="0" applyNumberFormat="1" applyFont="1" applyFill="1" applyBorder="1" applyProtection="1">
      <protection locked="0"/>
    </xf>
    <xf numFmtId="4" fontId="120" fillId="3" borderId="1" xfId="0" applyNumberFormat="1" applyFont="1" applyFill="1" applyBorder="1" applyAlignment="1" applyProtection="1">
      <alignment horizontal="right"/>
      <protection locked="0"/>
    </xf>
    <xf numFmtId="4" fontId="92" fillId="3" borderId="1" xfId="0" applyNumberFormat="1" applyFont="1" applyFill="1" applyBorder="1" applyAlignment="1" applyProtection="1">
      <alignment horizontal="right"/>
      <protection locked="0"/>
    </xf>
    <xf numFmtId="0" fontId="21" fillId="0" borderId="1" xfId="7" applyFont="1" applyFill="1" applyBorder="1" applyAlignment="1" applyProtection="1">
      <alignment vertical="center" wrapText="1"/>
      <protection locked="0"/>
    </xf>
    <xf numFmtId="0" fontId="21" fillId="0" borderId="1" xfId="7" applyFont="1" applyFill="1" applyBorder="1" applyAlignment="1" applyProtection="1">
      <alignment horizontal="left" vertical="center" wrapText="1"/>
      <protection locked="0"/>
    </xf>
    <xf numFmtId="4" fontId="86" fillId="3" borderId="1" xfId="0" applyNumberFormat="1" applyFont="1" applyFill="1" applyBorder="1" applyProtection="1">
      <protection locked="0"/>
    </xf>
    <xf numFmtId="0" fontId="104" fillId="3" borderId="51" xfId="0" applyFont="1" applyFill="1" applyBorder="1" applyAlignment="1">
      <alignment horizontal="center" vertical="center" wrapText="1"/>
    </xf>
    <xf numFmtId="4" fontId="102" fillId="5" borderId="40" xfId="0" applyNumberFormat="1" applyFont="1" applyFill="1" applyBorder="1" applyAlignment="1" applyProtection="1">
      <alignment horizontal="right"/>
    </xf>
    <xf numFmtId="4" fontId="104" fillId="3" borderId="42" xfId="0" applyNumberFormat="1" applyFont="1" applyFill="1" applyBorder="1" applyAlignment="1" applyProtection="1">
      <alignment horizontal="center" vertical="center" wrapText="1"/>
    </xf>
    <xf numFmtId="182" fontId="103" fillId="5" borderId="42" xfId="0" applyNumberFormat="1" applyFont="1" applyFill="1" applyBorder="1" applyProtection="1"/>
    <xf numFmtId="0" fontId="104" fillId="3" borderId="10" xfId="0" applyFont="1" applyFill="1" applyBorder="1" applyProtection="1">
      <protection locked="0"/>
    </xf>
    <xf numFmtId="182" fontId="103" fillId="3" borderId="10" xfId="0" applyNumberFormat="1" applyFont="1" applyFill="1" applyBorder="1" applyProtection="1">
      <protection locked="0"/>
    </xf>
    <xf numFmtId="182" fontId="103" fillId="3" borderId="10" xfId="0" applyNumberFormat="1" applyFont="1" applyFill="1" applyBorder="1" applyAlignment="1" applyProtection="1">
      <alignment horizontal="center"/>
      <protection locked="0"/>
    </xf>
    <xf numFmtId="4" fontId="103" fillId="3" borderId="10" xfId="0" applyNumberFormat="1" applyFont="1" applyFill="1" applyBorder="1" applyAlignment="1" applyProtection="1">
      <alignment horizontal="right"/>
      <protection locked="0"/>
    </xf>
    <xf numFmtId="182" fontId="107" fillId="3" borderId="10" xfId="0" applyNumberFormat="1" applyFont="1" applyFill="1" applyBorder="1" applyProtection="1">
      <protection locked="0"/>
    </xf>
    <xf numFmtId="4" fontId="103" fillId="3" borderId="1" xfId="0" applyNumberFormat="1" applyFont="1" applyFill="1" applyBorder="1" applyAlignment="1" applyProtection="1">
      <protection locked="0"/>
    </xf>
    <xf numFmtId="4" fontId="86" fillId="3" borderId="12" xfId="0" applyNumberFormat="1" applyFont="1" applyFill="1" applyBorder="1" applyProtection="1">
      <protection locked="0"/>
    </xf>
    <xf numFmtId="0" fontId="86" fillId="3" borderId="12" xfId="0" applyFont="1" applyFill="1" applyBorder="1" applyProtection="1">
      <protection locked="0"/>
    </xf>
    <xf numFmtId="0" fontId="104" fillId="19" borderId="15" xfId="0" applyFont="1" applyFill="1" applyBorder="1" applyAlignment="1">
      <alignment horizontal="center" vertical="center" wrapText="1"/>
    </xf>
    <xf numFmtId="0" fontId="104" fillId="20" borderId="15" xfId="0" applyFont="1" applyFill="1" applyBorder="1" applyAlignment="1">
      <alignment horizontal="center" vertical="center" wrapText="1"/>
    </xf>
    <xf numFmtId="0" fontId="103" fillId="3" borderId="19" xfId="0" applyFont="1" applyFill="1" applyBorder="1" applyAlignment="1" applyProtection="1">
      <alignment horizontal="center" vertical="center"/>
      <protection locked="0"/>
    </xf>
    <xf numFmtId="4" fontId="10" fillId="3" borderId="40" xfId="7" applyNumberFormat="1" applyFont="1" applyFill="1" applyBorder="1" applyAlignment="1" applyProtection="1">
      <alignment horizontal="center" vertical="center" wrapText="1"/>
    </xf>
    <xf numFmtId="0" fontId="10" fillId="0" borderId="0" xfId="7" applyFont="1" applyFill="1" applyBorder="1" applyAlignment="1" applyProtection="1">
      <alignment vertical="center"/>
      <protection locked="0"/>
    </xf>
    <xf numFmtId="0" fontId="104" fillId="0" borderId="0" xfId="0" applyFont="1" applyAlignment="1" applyProtection="1">
      <alignment wrapText="1"/>
    </xf>
    <xf numFmtId="182" fontId="104" fillId="0" borderId="0" xfId="0" applyNumberFormat="1" applyFont="1" applyProtection="1">
      <protection locked="0"/>
    </xf>
    <xf numFmtId="0" fontId="10" fillId="0" borderId="0" xfId="7" applyFont="1" applyFill="1" applyBorder="1" applyAlignment="1" applyProtection="1">
      <alignment vertical="center" wrapText="1"/>
      <protection locked="0"/>
    </xf>
    <xf numFmtId="0" fontId="95" fillId="3" borderId="0" xfId="7" applyFont="1" applyFill="1" applyBorder="1" applyAlignment="1" applyProtection="1">
      <alignment vertical="center"/>
    </xf>
    <xf numFmtId="0" fontId="47" fillId="3" borderId="0" xfId="7" applyFont="1" applyFill="1" applyBorder="1" applyAlignment="1" applyProtection="1">
      <alignment horizontal="left" vertical="center"/>
    </xf>
    <xf numFmtId="0" fontId="47" fillId="3" borderId="0" xfId="7" applyFont="1" applyFill="1" applyBorder="1" applyAlignment="1" applyProtection="1">
      <alignment horizontal="center" vertical="center" wrapText="1"/>
    </xf>
    <xf numFmtId="180" fontId="47" fillId="3" borderId="0" xfId="7" applyNumberFormat="1" applyFont="1" applyFill="1" applyBorder="1" applyAlignment="1" applyProtection="1">
      <alignment horizontal="center" vertical="center"/>
    </xf>
    <xf numFmtId="0" fontId="121" fillId="0" borderId="0" xfId="7" applyFont="1" applyFill="1" applyBorder="1" applyAlignment="1" applyProtection="1">
      <alignment vertical="center"/>
    </xf>
    <xf numFmtId="49" fontId="19" fillId="3" borderId="1" xfId="7" applyNumberFormat="1" applyFont="1" applyFill="1" applyBorder="1" applyAlignment="1" applyProtection="1">
      <alignment horizontal="center" vertical="center" wrapText="1" readingOrder="1"/>
    </xf>
    <xf numFmtId="49" fontId="19" fillId="3" borderId="2" xfId="7" applyNumberFormat="1" applyFont="1" applyFill="1" applyBorder="1" applyAlignment="1" applyProtection="1">
      <alignment vertical="center"/>
    </xf>
    <xf numFmtId="180" fontId="19" fillId="3" borderId="1" xfId="7" applyNumberFormat="1" applyFont="1" applyFill="1" applyBorder="1" applyAlignment="1" applyProtection="1">
      <alignment horizontal="center" vertical="center"/>
    </xf>
    <xf numFmtId="180" fontId="19" fillId="3" borderId="5" xfId="7" applyNumberFormat="1" applyFont="1" applyFill="1" applyBorder="1" applyAlignment="1" applyProtection="1">
      <alignment horizontal="center" vertical="center"/>
    </xf>
    <xf numFmtId="49" fontId="19" fillId="3" borderId="8" xfId="7" applyNumberFormat="1" applyFont="1" applyFill="1" applyBorder="1" applyAlignment="1" applyProtection="1">
      <alignment vertical="center"/>
    </xf>
    <xf numFmtId="180" fontId="47" fillId="3" borderId="6" xfId="7" applyNumberFormat="1" applyFont="1" applyFill="1" applyBorder="1" applyAlignment="1" applyProtection="1">
      <alignment horizontal="center" vertical="center"/>
    </xf>
    <xf numFmtId="49" fontId="24" fillId="3" borderId="0" xfId="7" applyNumberFormat="1" applyFont="1" applyFill="1" applyBorder="1" applyAlignment="1" applyProtection="1">
      <alignment vertical="center"/>
    </xf>
    <xf numFmtId="0" fontId="19" fillId="3" borderId="0" xfId="7" applyFont="1" applyFill="1" applyBorder="1" applyAlignment="1" applyProtection="1">
      <alignment horizontal="center" vertical="center" wrapText="1"/>
    </xf>
    <xf numFmtId="0" fontId="47" fillId="0" borderId="0" xfId="7" applyFont="1" applyFill="1" applyBorder="1" applyAlignment="1" applyProtection="1">
      <alignment horizontal="center" vertical="center"/>
    </xf>
    <xf numFmtId="49" fontId="19" fillId="3" borderId="0" xfId="7" applyNumberFormat="1" applyFont="1" applyFill="1" applyBorder="1" applyAlignment="1" applyProtection="1">
      <alignment horizontal="center" vertical="center" wrapText="1" readingOrder="1"/>
    </xf>
    <xf numFmtId="180" fontId="24" fillId="3" borderId="0" xfId="7" applyNumberFormat="1" applyFont="1" applyFill="1" applyBorder="1" applyAlignment="1" applyProtection="1">
      <alignment horizontal="center" vertical="center"/>
    </xf>
    <xf numFmtId="180" fontId="47" fillId="3" borderId="7" xfId="7" applyNumberFormat="1" applyFont="1" applyFill="1" applyBorder="1" applyAlignment="1" applyProtection="1">
      <alignment horizontal="center" vertical="center"/>
    </xf>
    <xf numFmtId="180" fontId="24" fillId="3" borderId="1" xfId="7" applyNumberFormat="1" applyFont="1" applyFill="1" applyBorder="1" applyAlignment="1" applyProtection="1">
      <alignment horizontal="center" vertical="center"/>
    </xf>
    <xf numFmtId="180" fontId="47" fillId="3" borderId="1" xfId="7" applyNumberFormat="1" applyFont="1" applyFill="1" applyBorder="1" applyAlignment="1" applyProtection="1">
      <alignment horizontal="center" vertical="center"/>
    </xf>
    <xf numFmtId="0" fontId="19" fillId="21" borderId="1" xfId="7" applyFont="1" applyFill="1" applyBorder="1" applyAlignment="1" applyProtection="1">
      <alignment horizontal="center" vertical="center"/>
    </xf>
    <xf numFmtId="180" fontId="19" fillId="21" borderId="1" xfId="7" applyNumberFormat="1" applyFont="1" applyFill="1" applyBorder="1" applyAlignment="1" applyProtection="1">
      <alignment horizontal="center" vertical="center"/>
    </xf>
    <xf numFmtId="182" fontId="47" fillId="21" borderId="1" xfId="7" applyNumberFormat="1" applyFont="1" applyFill="1" applyBorder="1" applyAlignment="1" applyProtection="1">
      <alignment horizontal="center" vertical="center"/>
    </xf>
    <xf numFmtId="182" fontId="47" fillId="3" borderId="1" xfId="7" applyNumberFormat="1" applyFont="1" applyFill="1" applyBorder="1" applyAlignment="1" applyProtection="1">
      <alignment horizontal="center" vertical="center"/>
    </xf>
    <xf numFmtId="14" fontId="47" fillId="3" borderId="1" xfId="7" applyNumberFormat="1" applyFont="1" applyFill="1" applyBorder="1" applyAlignment="1" applyProtection="1">
      <alignment horizontal="center" vertical="center"/>
    </xf>
    <xf numFmtId="0" fontId="47" fillId="3" borderId="1" xfId="7" applyFont="1" applyFill="1" applyBorder="1" applyAlignment="1" applyProtection="1">
      <alignment horizontal="center" vertical="center"/>
    </xf>
    <xf numFmtId="16" fontId="19" fillId="3" borderId="1" xfId="7" applyNumberFormat="1" applyFont="1" applyFill="1" applyBorder="1" applyAlignment="1" applyProtection="1">
      <alignment horizontal="center" vertical="center"/>
    </xf>
    <xf numFmtId="4" fontId="19" fillId="3" borderId="1" xfId="7" applyNumberFormat="1" applyFont="1" applyFill="1" applyBorder="1" applyAlignment="1" applyProtection="1">
      <alignment horizontal="center" vertical="center"/>
    </xf>
    <xf numFmtId="14" fontId="19" fillId="3" borderId="1" xfId="7" applyNumberFormat="1" applyFont="1" applyFill="1" applyBorder="1" applyAlignment="1" applyProtection="1">
      <alignment horizontal="center" vertical="center"/>
    </xf>
    <xf numFmtId="0" fontId="24" fillId="3" borderId="1" xfId="7" applyFont="1" applyFill="1" applyBorder="1" applyAlignment="1" applyProtection="1">
      <alignment horizontal="center" vertical="center"/>
    </xf>
    <xf numFmtId="0" fontId="19" fillId="9" borderId="1" xfId="7" applyFont="1" applyFill="1" applyBorder="1" applyAlignment="1" applyProtection="1">
      <alignment horizontal="center" vertical="center"/>
    </xf>
    <xf numFmtId="180" fontId="19" fillId="9" borderId="1" xfId="7" applyNumberFormat="1" applyFont="1" applyFill="1" applyBorder="1" applyAlignment="1" applyProtection="1">
      <alignment horizontal="center" vertical="center"/>
    </xf>
    <xf numFmtId="182" fontId="47" fillId="9" borderId="1" xfId="7" applyNumberFormat="1" applyFont="1" applyFill="1" applyBorder="1" applyAlignment="1" applyProtection="1">
      <alignment horizontal="center" vertical="center"/>
    </xf>
    <xf numFmtId="0" fontId="19" fillId="9" borderId="9" xfId="7" applyFont="1" applyFill="1" applyBorder="1" applyAlignment="1" applyProtection="1">
      <alignment horizontal="left" vertical="center" indent="2"/>
    </xf>
    <xf numFmtId="0" fontId="47" fillId="9" borderId="52" xfId="7" applyFont="1" applyFill="1" applyBorder="1" applyAlignment="1" applyProtection="1">
      <alignment horizontal="left" vertical="center" indent="2"/>
    </xf>
    <xf numFmtId="0" fontId="47" fillId="9" borderId="42" xfId="7" applyFont="1" applyFill="1" applyBorder="1" applyAlignment="1" applyProtection="1">
      <alignment horizontal="left" vertical="center" indent="2"/>
    </xf>
    <xf numFmtId="182" fontId="19" fillId="9" borderId="1" xfId="7" applyNumberFormat="1" applyFont="1" applyFill="1" applyBorder="1" applyAlignment="1" applyProtection="1">
      <alignment horizontal="center" vertical="center"/>
    </xf>
    <xf numFmtId="0" fontId="4" fillId="14" borderId="1" xfId="0" applyFont="1" applyFill="1" applyBorder="1" applyAlignment="1">
      <alignment horizontal="left" vertical="center" wrapText="1"/>
    </xf>
    <xf numFmtId="49" fontId="19" fillId="3" borderId="0" xfId="7" applyNumberFormat="1" applyFont="1" applyFill="1" applyBorder="1" applyAlignment="1" applyProtection="1">
      <alignment horizontal="center" vertical="center"/>
    </xf>
    <xf numFmtId="4" fontId="24" fillId="3" borderId="0" xfId="7" applyNumberFormat="1" applyFont="1" applyFill="1" applyBorder="1" applyAlignment="1" applyProtection="1">
      <alignment horizontal="left" vertical="center" wrapText="1"/>
    </xf>
    <xf numFmtId="180" fontId="48" fillId="3" borderId="0" xfId="7" applyNumberFormat="1" applyFont="1" applyFill="1" applyBorder="1" applyAlignment="1" applyProtection="1">
      <alignment horizontal="center" vertical="center" wrapText="1" readingOrder="1"/>
    </xf>
    <xf numFmtId="49" fontId="122" fillId="3" borderId="1" xfId="7" applyNumberFormat="1" applyFont="1" applyFill="1" applyBorder="1" applyAlignment="1" applyProtection="1">
      <alignment horizontal="center" vertical="center" wrapText="1" readingOrder="1"/>
    </xf>
    <xf numFmtId="49" fontId="19" fillId="3" borderId="1" xfId="7" applyNumberFormat="1" applyFont="1" applyFill="1" applyBorder="1" applyAlignment="1" applyProtection="1">
      <alignment horizontal="center"/>
    </xf>
    <xf numFmtId="182" fontId="47" fillId="3" borderId="1" xfId="7" applyNumberFormat="1" applyFont="1" applyFill="1" applyBorder="1" applyAlignment="1" applyProtection="1">
      <alignment horizontal="center" vertical="center" wrapText="1" readingOrder="1"/>
    </xf>
    <xf numFmtId="0" fontId="19" fillId="3" borderId="1" xfId="7" applyFont="1" applyFill="1" applyBorder="1" applyAlignment="1" applyProtection="1">
      <alignment vertical="center"/>
    </xf>
    <xf numFmtId="0" fontId="19" fillId="3" borderId="1" xfId="7" applyFont="1" applyFill="1" applyBorder="1" applyAlignment="1" applyProtection="1">
      <alignment horizontal="center"/>
    </xf>
    <xf numFmtId="49" fontId="19" fillId="9" borderId="1" xfId="7" applyNumberFormat="1" applyFont="1" applyFill="1" applyBorder="1" applyAlignment="1" applyProtection="1">
      <alignment horizontal="center"/>
    </xf>
    <xf numFmtId="0" fontId="7" fillId="0" borderId="0" xfId="7" applyFont="1" applyFill="1" applyBorder="1" applyAlignment="1" applyProtection="1">
      <alignment horizontal="center" vertical="center"/>
    </xf>
    <xf numFmtId="3" fontId="92" fillId="10" borderId="1" xfId="0" applyNumberFormat="1" applyFont="1" applyFill="1" applyBorder="1" applyAlignment="1">
      <alignment horizontal="center" vertical="center"/>
    </xf>
    <xf numFmtId="0" fontId="123" fillId="0" borderId="0" xfId="7" applyFont="1" applyFill="1" applyBorder="1" applyAlignment="1" applyProtection="1">
      <alignment vertical="center"/>
    </xf>
    <xf numFmtId="0" fontId="45" fillId="3" borderId="2" xfId="7" applyFont="1" applyFill="1" applyBorder="1" applyAlignment="1">
      <alignment horizontal="center" vertical="center"/>
    </xf>
    <xf numFmtId="182" fontId="122" fillId="3" borderId="1" xfId="7" applyNumberFormat="1" applyFont="1" applyFill="1" applyBorder="1" applyAlignment="1" applyProtection="1">
      <alignment horizontal="center" vertical="center"/>
    </xf>
    <xf numFmtId="0" fontId="24" fillId="0" borderId="1" xfId="7" applyFont="1" applyFill="1" applyBorder="1" applyAlignment="1" applyProtection="1">
      <alignment horizontal="center" vertical="center"/>
    </xf>
    <xf numFmtId="182" fontId="124" fillId="3" borderId="1" xfId="7" applyNumberFormat="1" applyFont="1" applyFill="1" applyBorder="1" applyAlignment="1" applyProtection="1">
      <alignment horizontal="center" vertical="center"/>
    </xf>
    <xf numFmtId="49" fontId="19" fillId="3" borderId="0" xfId="7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125" fillId="0" borderId="0" xfId="7" applyFont="1" applyFill="1" applyBorder="1" applyAlignment="1" applyProtection="1">
      <alignment vertical="center"/>
    </xf>
    <xf numFmtId="4" fontId="104" fillId="3" borderId="9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7" applyFont="1" applyFill="1" applyBorder="1" applyAlignment="1">
      <alignment horizontal="center" vertical="center"/>
    </xf>
    <xf numFmtId="0" fontId="0" fillId="0" borderId="0" xfId="0"/>
    <xf numFmtId="180" fontId="4" fillId="3" borderId="12" xfId="7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4" fontId="4" fillId="0" borderId="0" xfId="7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" fontId="8" fillId="15" borderId="1" xfId="7" applyNumberFormat="1" applyFont="1" applyFill="1" applyBorder="1" applyAlignment="1">
      <alignment horizontal="center" vertical="center"/>
    </xf>
    <xf numFmtId="49" fontId="14" fillId="3" borderId="36" xfId="7" applyNumberFormat="1" applyFont="1" applyFill="1" applyBorder="1" applyAlignment="1">
      <alignment horizontal="center" vertical="center" wrapText="1"/>
    </xf>
    <xf numFmtId="49" fontId="14" fillId="3" borderId="42" xfId="7" applyNumberFormat="1" applyFont="1" applyFill="1" applyBorder="1" applyAlignment="1">
      <alignment horizontal="center" vertical="center" wrapText="1"/>
    </xf>
    <xf numFmtId="1" fontId="14" fillId="3" borderId="42" xfId="7" applyNumberFormat="1" applyFont="1" applyFill="1" applyBorder="1" applyAlignment="1">
      <alignment horizontal="center" vertical="center"/>
    </xf>
    <xf numFmtId="0" fontId="91" fillId="5" borderId="42" xfId="0" applyFont="1" applyFill="1" applyBorder="1" applyAlignment="1">
      <alignment horizontal="left"/>
    </xf>
    <xf numFmtId="0" fontId="4" fillId="3" borderId="42" xfId="7" applyFont="1" applyFill="1" applyBorder="1" applyAlignment="1">
      <alignment vertical="center"/>
    </xf>
    <xf numFmtId="0" fontId="91" fillId="7" borderId="1" xfId="0" applyFont="1" applyFill="1" applyBorder="1" applyAlignment="1">
      <alignment horizontal="center"/>
    </xf>
    <xf numFmtId="0" fontId="91" fillId="8" borderId="1" xfId="0" applyFont="1" applyFill="1" applyBorder="1" applyAlignment="1">
      <alignment horizontal="center"/>
    </xf>
    <xf numFmtId="49" fontId="7" fillId="3" borderId="0" xfId="7" applyNumberFormat="1" applyFont="1" applyFill="1" applyBorder="1" applyAlignment="1" applyProtection="1">
      <alignment vertical="center" wrapText="1" readingOrder="1"/>
      <protection locked="0"/>
    </xf>
    <xf numFmtId="0" fontId="89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0" fontId="108" fillId="0" borderId="0" xfId="0" applyFont="1" applyAlignment="1">
      <alignment wrapText="1"/>
    </xf>
    <xf numFmtId="0" fontId="91" fillId="0" borderId="0" xfId="0" applyFont="1" applyAlignment="1">
      <alignment horizontal="center"/>
    </xf>
    <xf numFmtId="0" fontId="104" fillId="0" borderId="0" xfId="0" applyFont="1" applyBorder="1" applyProtection="1">
      <protection locked="0"/>
    </xf>
    <xf numFmtId="0" fontId="104" fillId="0" borderId="0" xfId="0" applyFont="1" applyBorder="1" applyAlignment="1" applyProtection="1">
      <alignment horizontal="left"/>
      <protection locked="0"/>
    </xf>
    <xf numFmtId="182" fontId="104" fillId="0" borderId="0" xfId="0" applyNumberFormat="1" applyFont="1" applyBorder="1" applyAlignment="1" applyProtection="1">
      <alignment horizontal="left"/>
      <protection locked="0"/>
    </xf>
    <xf numFmtId="0" fontId="104" fillId="0" borderId="0" xfId="0" applyFont="1" applyBorder="1"/>
    <xf numFmtId="0" fontId="91" fillId="7" borderId="12" xfId="0" applyFont="1" applyFill="1" applyBorder="1" applyAlignment="1">
      <alignment horizontal="center"/>
    </xf>
    <xf numFmtId="4" fontId="4" fillId="3" borderId="27" xfId="7" applyNumberFormat="1" applyFont="1" applyFill="1" applyBorder="1" applyAlignment="1" applyProtection="1">
      <alignment vertical="center" wrapText="1"/>
    </xf>
    <xf numFmtId="0" fontId="127" fillId="3" borderId="0" xfId="0" applyFont="1" applyFill="1" applyBorder="1" applyAlignment="1">
      <alignment horizontal="center" vertical="center" wrapText="1"/>
    </xf>
    <xf numFmtId="182" fontId="11" fillId="3" borderId="0" xfId="0" applyNumberFormat="1" applyFont="1" applyFill="1" applyBorder="1" applyProtection="1"/>
    <xf numFmtId="1" fontId="14" fillId="3" borderId="0" xfId="0" applyNumberFormat="1" applyFont="1" applyFill="1" applyBorder="1" applyAlignment="1" applyProtection="1">
      <alignment vertical="center" wrapText="1"/>
    </xf>
    <xf numFmtId="1" fontId="6" fillId="5" borderId="6" xfId="0" applyNumberFormat="1" applyFont="1" applyFill="1" applyBorder="1" applyAlignment="1">
      <alignment horizontal="center" vertical="center"/>
    </xf>
    <xf numFmtId="182" fontId="6" fillId="5" borderId="6" xfId="0" applyNumberFormat="1" applyFont="1" applyFill="1" applyBorder="1" applyAlignment="1">
      <alignment vertical="center"/>
    </xf>
    <xf numFmtId="182" fontId="55" fillId="5" borderId="6" xfId="0" applyNumberFormat="1" applyFont="1" applyFill="1" applyBorder="1" applyAlignment="1">
      <alignment vertical="center"/>
    </xf>
    <xf numFmtId="4" fontId="128" fillId="3" borderId="0" xfId="7" applyNumberFormat="1" applyFont="1" applyFill="1" applyBorder="1" applyAlignment="1" applyProtection="1">
      <alignment horizontal="center" vertical="center" wrapText="1"/>
    </xf>
    <xf numFmtId="4" fontId="10" fillId="3" borderId="1" xfId="7" applyNumberFormat="1" applyFont="1" applyFill="1" applyBorder="1" applyAlignment="1" applyProtection="1">
      <alignment horizontal="center" vertical="center" wrapText="1"/>
    </xf>
    <xf numFmtId="0" fontId="4" fillId="3" borderId="14" xfId="7" applyFont="1" applyFill="1" applyBorder="1" applyAlignment="1">
      <alignment horizontal="center" vertical="center" wrapText="1"/>
    </xf>
    <xf numFmtId="0" fontId="4" fillId="3" borderId="2" xfId="7" applyFont="1" applyFill="1" applyBorder="1" applyAlignment="1">
      <alignment horizontal="center" vertical="center" wrapText="1"/>
    </xf>
    <xf numFmtId="4" fontId="4" fillId="3" borderId="3" xfId="7" applyNumberFormat="1" applyFont="1" applyFill="1" applyBorder="1" applyAlignment="1">
      <alignment horizontal="center" vertical="center" wrapText="1"/>
    </xf>
    <xf numFmtId="16" fontId="19" fillId="3" borderId="8" xfId="7" applyNumberFormat="1" applyFont="1" applyFill="1" applyBorder="1" applyAlignment="1">
      <alignment horizontal="left" wrapText="1" indent="2"/>
    </xf>
    <xf numFmtId="16" fontId="19" fillId="3" borderId="2" xfId="7" applyNumberFormat="1" applyFont="1" applyFill="1" applyBorder="1" applyAlignment="1">
      <alignment horizontal="left" wrapText="1" indent="2"/>
    </xf>
    <xf numFmtId="4" fontId="4" fillId="3" borderId="0" xfId="7" applyNumberFormat="1" applyFont="1" applyFill="1" applyBorder="1" applyAlignment="1" applyProtection="1">
      <alignment horizontal="center" vertical="center" wrapText="1"/>
    </xf>
    <xf numFmtId="182" fontId="129" fillId="3" borderId="0" xfId="7" applyNumberFormat="1" applyFont="1" applyFill="1" applyBorder="1" applyAlignment="1" applyProtection="1">
      <alignment horizontal="center" vertical="center" wrapText="1"/>
      <protection locked="0"/>
    </xf>
    <xf numFmtId="0" fontId="129" fillId="3" borderId="0" xfId="7" applyFont="1" applyFill="1" applyBorder="1" applyAlignment="1" applyProtection="1">
      <alignment horizontal="center" vertical="center" wrapText="1"/>
      <protection locked="0"/>
    </xf>
    <xf numFmtId="182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181" fontId="7" fillId="3" borderId="0" xfId="7" applyNumberFormat="1" applyFont="1" applyFill="1" applyBorder="1" applyAlignment="1" applyProtection="1">
      <alignment horizontal="right" vertical="center"/>
      <protection locked="0"/>
    </xf>
    <xf numFmtId="4" fontId="4" fillId="3" borderId="0" xfId="7" applyNumberFormat="1" applyFont="1" applyFill="1" applyBorder="1" applyAlignment="1" applyProtection="1">
      <alignment vertical="center"/>
      <protection locked="0"/>
    </xf>
    <xf numFmtId="4" fontId="86" fillId="0" borderId="0" xfId="0" applyNumberFormat="1" applyFont="1" applyBorder="1" applyProtection="1">
      <protection locked="0"/>
    </xf>
    <xf numFmtId="4" fontId="88" fillId="3" borderId="0" xfId="0" applyNumberFormat="1" applyFont="1" applyFill="1" applyBorder="1" applyProtection="1">
      <protection locked="0"/>
    </xf>
    <xf numFmtId="4" fontId="94" fillId="0" borderId="0" xfId="0" applyNumberFormat="1" applyFont="1" applyBorder="1" applyProtection="1">
      <protection locked="0"/>
    </xf>
    <xf numFmtId="4" fontId="86" fillId="0" borderId="0" xfId="0" applyNumberFormat="1" applyFont="1" applyFill="1" applyBorder="1" applyProtection="1">
      <protection locked="0"/>
    </xf>
    <xf numFmtId="3" fontId="4" fillId="3" borderId="5" xfId="7" applyNumberFormat="1" applyFont="1" applyFill="1" applyBorder="1" applyAlignment="1">
      <alignment horizontal="center" vertical="center" wrapText="1"/>
    </xf>
    <xf numFmtId="181" fontId="7" fillId="6" borderId="7" xfId="7" applyNumberFormat="1" applyFont="1" applyFill="1" applyBorder="1" applyAlignment="1" applyProtection="1">
      <alignment horizontal="right" vertical="center"/>
    </xf>
    <xf numFmtId="0" fontId="97" fillId="3" borderId="0" xfId="7" applyFont="1" applyFill="1" applyBorder="1" applyAlignment="1">
      <alignment vertical="center" wrapText="1"/>
    </xf>
    <xf numFmtId="0" fontId="95" fillId="0" borderId="0" xfId="7" applyFont="1" applyFill="1" applyBorder="1" applyAlignment="1">
      <alignment horizontal="center" vertical="center"/>
    </xf>
    <xf numFmtId="4" fontId="91" fillId="0" borderId="0" xfId="0" applyNumberFormat="1" applyFont="1" applyBorder="1" applyProtection="1">
      <protection locked="0"/>
    </xf>
    <xf numFmtId="4" fontId="91" fillId="0" borderId="3" xfId="0" applyNumberFormat="1" applyFont="1" applyBorder="1" applyProtection="1">
      <protection locked="0"/>
    </xf>
    <xf numFmtId="4" fontId="91" fillId="0" borderId="4" xfId="0" applyNumberFormat="1" applyFont="1" applyBorder="1" applyProtection="1">
      <protection locked="0"/>
    </xf>
    <xf numFmtId="4" fontId="86" fillId="0" borderId="0" xfId="0" applyNumberFormat="1" applyFont="1" applyAlignment="1" applyProtection="1">
      <alignment horizontal="center"/>
      <protection locked="0"/>
    </xf>
    <xf numFmtId="0" fontId="91" fillId="3" borderId="0" xfId="0" applyFont="1" applyFill="1" applyBorder="1" applyAlignment="1">
      <alignment horizontal="center"/>
    </xf>
    <xf numFmtId="182" fontId="11" fillId="0" borderId="0" xfId="0" applyNumberFormat="1" applyFont="1" applyFill="1" applyBorder="1" applyProtection="1">
      <protection locked="0"/>
    </xf>
    <xf numFmtId="182" fontId="13" fillId="0" borderId="0" xfId="0" applyNumberFormat="1" applyFont="1" applyFill="1" applyBorder="1" applyProtection="1">
      <protection locked="0"/>
    </xf>
    <xf numFmtId="0" fontId="92" fillId="3" borderId="0" xfId="0" applyFont="1" applyFill="1" applyBorder="1" applyAlignment="1">
      <alignment horizontal="left" wrapText="1"/>
    </xf>
    <xf numFmtId="0" fontId="92" fillId="3" borderId="0" xfId="0" applyFont="1" applyFill="1" applyBorder="1" applyAlignment="1">
      <alignment horizontal="left" wrapText="1" indent="2"/>
    </xf>
    <xf numFmtId="182" fontId="11" fillId="3" borderId="0" xfId="0" applyNumberFormat="1" applyFont="1" applyFill="1" applyBorder="1" applyProtection="1">
      <protection locked="0"/>
    </xf>
    <xf numFmtId="182" fontId="13" fillId="3" borderId="0" xfId="0" applyNumberFormat="1" applyFont="1" applyFill="1" applyBorder="1" applyProtection="1">
      <protection locked="0"/>
    </xf>
    <xf numFmtId="4" fontId="102" fillId="7" borderId="0" xfId="0" applyNumberFormat="1" applyFont="1" applyFill="1" applyBorder="1" applyAlignment="1" applyProtection="1">
      <alignment vertical="center"/>
    </xf>
    <xf numFmtId="0" fontId="130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3" borderId="10" xfId="7" applyNumberFormat="1" applyFont="1" applyFill="1" applyBorder="1" applyAlignment="1" applyProtection="1">
      <alignment horizontal="center" vertical="center" wrapText="1" readingOrder="1"/>
    </xf>
    <xf numFmtId="0" fontId="19" fillId="3" borderId="10" xfId="7" applyFont="1" applyFill="1" applyBorder="1" applyAlignment="1" applyProtection="1">
      <alignment horizontal="center" vertical="center" wrapText="1"/>
    </xf>
    <xf numFmtId="0" fontId="19" fillId="3" borderId="11" xfId="7" applyFont="1" applyFill="1" applyBorder="1" applyAlignment="1" applyProtection="1">
      <alignment horizontal="center" vertical="center" wrapText="1"/>
    </xf>
    <xf numFmtId="4" fontId="87" fillId="3" borderId="0" xfId="0" applyNumberFormat="1" applyFont="1" applyFill="1" applyBorder="1" applyAlignment="1" applyProtection="1">
      <alignment horizontal="left"/>
    </xf>
    <xf numFmtId="0" fontId="100" fillId="0" borderId="0" xfId="0" applyFont="1" applyBorder="1" applyAlignment="1">
      <alignment horizontal="center" vertical="center" wrapText="1"/>
    </xf>
    <xf numFmtId="182" fontId="11" fillId="5" borderId="10" xfId="0" applyNumberFormat="1" applyFont="1" applyFill="1" applyBorder="1" applyProtection="1"/>
    <xf numFmtId="182" fontId="11" fillId="5" borderId="11" xfId="0" applyNumberFormat="1" applyFont="1" applyFill="1" applyBorder="1" applyProtection="1"/>
    <xf numFmtId="182" fontId="11" fillId="5" borderId="6" xfId="0" applyNumberFormat="1" applyFont="1" applyFill="1" applyBorder="1"/>
    <xf numFmtId="182" fontId="13" fillId="5" borderId="6" xfId="0" applyNumberFormat="1" applyFont="1" applyFill="1" applyBorder="1"/>
    <xf numFmtId="182" fontId="11" fillId="5" borderId="3" xfId="0" applyNumberFormat="1" applyFont="1" applyFill="1" applyBorder="1" applyProtection="1"/>
    <xf numFmtId="182" fontId="11" fillId="5" borderId="4" xfId="0" applyNumberFormat="1" applyFont="1" applyFill="1" applyBorder="1" applyProtection="1"/>
    <xf numFmtId="182" fontId="6" fillId="0" borderId="10" xfId="0" applyNumberFormat="1" applyFont="1" applyFill="1" applyBorder="1"/>
    <xf numFmtId="182" fontId="55" fillId="0" borderId="10" xfId="0" applyNumberFormat="1" applyFont="1" applyFill="1" applyBorder="1"/>
    <xf numFmtId="0" fontId="5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2" fontId="55" fillId="0" borderId="5" xfId="0" applyNumberFormat="1" applyFont="1" applyFill="1" applyBorder="1" applyProtection="1">
      <protection locked="0"/>
    </xf>
    <xf numFmtId="4" fontId="4" fillId="3" borderId="0" xfId="7" applyNumberFormat="1" applyFont="1" applyFill="1" applyBorder="1" applyAlignment="1" applyProtection="1">
      <alignment horizontal="center" vertical="center" wrapText="1"/>
    </xf>
    <xf numFmtId="49" fontId="4" fillId="3" borderId="14" xfId="7" applyNumberFormat="1" applyFont="1" applyFill="1" applyBorder="1" applyAlignment="1">
      <alignment horizontal="center" vertical="center"/>
    </xf>
    <xf numFmtId="49" fontId="4" fillId="3" borderId="2" xfId="7" applyNumberFormat="1" applyFont="1" applyFill="1" applyBorder="1" applyAlignment="1">
      <alignment horizontal="center" vertical="center"/>
    </xf>
    <xf numFmtId="4" fontId="4" fillId="3" borderId="3" xfId="7" applyNumberFormat="1" applyFont="1" applyFill="1" applyBorder="1" applyAlignment="1">
      <alignment horizontal="center" vertical="center" wrapText="1"/>
    </xf>
    <xf numFmtId="0" fontId="91" fillId="3" borderId="0" xfId="7" applyFont="1" applyFill="1" applyBorder="1" applyAlignment="1" applyProtection="1">
      <alignment horizontal="center" vertical="center"/>
    </xf>
    <xf numFmtId="4" fontId="4" fillId="0" borderId="0" xfId="7" applyNumberFormat="1" applyFont="1" applyFill="1" applyBorder="1" applyAlignment="1">
      <alignment horizontal="center" vertical="center" wrapText="1"/>
    </xf>
    <xf numFmtId="0" fontId="91" fillId="3" borderId="0" xfId="7" applyFont="1" applyFill="1" applyBorder="1" applyAlignment="1" applyProtection="1">
      <alignment vertical="center" wrapText="1"/>
    </xf>
    <xf numFmtId="4" fontId="91" fillId="3" borderId="0" xfId="7" applyNumberFormat="1" applyFont="1" applyFill="1" applyBorder="1" applyAlignment="1">
      <alignment horizontal="center" vertical="center" wrapText="1"/>
    </xf>
    <xf numFmtId="4" fontId="91" fillId="3" borderId="0" xfId="7" applyNumberFormat="1" applyFont="1" applyFill="1" applyBorder="1" applyAlignment="1">
      <alignment horizontal="center" vertical="center"/>
    </xf>
    <xf numFmtId="182" fontId="91" fillId="3" borderId="0" xfId="7" applyNumberFormat="1" applyFont="1" applyFill="1" applyBorder="1" applyAlignment="1" applyProtection="1">
      <alignment horizontal="center" vertical="center" wrapText="1"/>
      <protection locked="0"/>
    </xf>
    <xf numFmtId="4" fontId="91" fillId="0" borderId="0" xfId="7" applyNumberFormat="1" applyFont="1" applyFill="1" applyBorder="1" applyAlignment="1">
      <alignment horizontal="center" vertical="center" wrapText="1"/>
    </xf>
    <xf numFmtId="4" fontId="91" fillId="3" borderId="0" xfId="7" applyNumberFormat="1" applyFont="1" applyFill="1" applyBorder="1" applyAlignment="1" applyProtection="1">
      <alignment horizontal="center" vertical="center" wrapText="1"/>
    </xf>
    <xf numFmtId="182" fontId="91" fillId="3" borderId="0" xfId="7" applyNumberFormat="1" applyFont="1" applyFill="1" applyBorder="1" applyAlignment="1" applyProtection="1">
      <alignment horizontal="center" vertical="center" wrapText="1"/>
    </xf>
    <xf numFmtId="4" fontId="92" fillId="0" borderId="0" xfId="7" applyNumberFormat="1" applyFont="1" applyFill="1" applyBorder="1" applyAlignment="1" applyProtection="1">
      <alignment horizontal="center" vertical="center" wrapText="1"/>
    </xf>
    <xf numFmtId="0" fontId="91" fillId="3" borderId="0" xfId="7" applyFont="1" applyFill="1" applyBorder="1" applyAlignment="1" applyProtection="1">
      <alignment vertical="center"/>
    </xf>
    <xf numFmtId="4" fontId="7" fillId="3" borderId="0" xfId="7" applyNumberFormat="1" applyFont="1" applyFill="1" applyBorder="1" applyAlignment="1" applyProtection="1">
      <alignment horizontal="center" vertical="center" wrapText="1"/>
    </xf>
    <xf numFmtId="182" fontId="7" fillId="0" borderId="0" xfId="7" applyNumberFormat="1" applyFont="1" applyFill="1" applyBorder="1" applyAlignment="1" applyProtection="1">
      <alignment horizontal="center" vertical="center" wrapText="1"/>
    </xf>
    <xf numFmtId="182" fontId="4" fillId="0" borderId="0" xfId="7" applyNumberFormat="1" applyFont="1" applyFill="1" applyBorder="1" applyAlignment="1" applyProtection="1">
      <alignment horizontal="right" vertical="center" wrapText="1" indent="1"/>
    </xf>
    <xf numFmtId="182" fontId="7" fillId="0" borderId="0" xfId="7" applyNumberFormat="1" applyFont="1" applyFill="1" applyBorder="1" applyAlignment="1" applyProtection="1">
      <alignment horizontal="right" vertical="center" wrapText="1" indent="1"/>
    </xf>
    <xf numFmtId="182" fontId="7" fillId="3" borderId="0" xfId="7" applyNumberFormat="1" applyFont="1" applyFill="1" applyBorder="1" applyAlignment="1" applyProtection="1">
      <alignment horizontal="right" vertical="center" indent="1"/>
    </xf>
    <xf numFmtId="180" fontId="131" fillId="7" borderId="0" xfId="0" applyNumberFormat="1" applyFont="1" applyFill="1" applyBorder="1" applyAlignment="1" applyProtection="1">
      <alignment horizontal="center"/>
    </xf>
    <xf numFmtId="180" fontId="132" fillId="3" borderId="0" xfId="0" applyNumberFormat="1" applyFont="1" applyFill="1" applyBorder="1" applyAlignment="1">
      <alignment horizontal="center"/>
    </xf>
    <xf numFmtId="182" fontId="11" fillId="3" borderId="20" xfId="0" applyNumberFormat="1" applyFont="1" applyFill="1" applyBorder="1" applyProtection="1"/>
    <xf numFmtId="4" fontId="4" fillId="3" borderId="0" xfId="7" applyNumberFormat="1" applyFont="1" applyFill="1" applyBorder="1" applyAlignment="1">
      <alignment vertical="center" wrapText="1"/>
    </xf>
    <xf numFmtId="4" fontId="4" fillId="0" borderId="0" xfId="7" applyNumberFormat="1" applyFont="1" applyFill="1" applyBorder="1" applyAlignment="1">
      <alignment vertical="center" wrapText="1"/>
    </xf>
    <xf numFmtId="182" fontId="4" fillId="3" borderId="0" xfId="7" applyNumberFormat="1" applyFont="1" applyFill="1" applyBorder="1" applyAlignment="1" applyProtection="1">
      <alignment horizontal="center" vertical="center" wrapText="1"/>
      <protection locked="0"/>
    </xf>
    <xf numFmtId="4" fontId="4" fillId="3" borderId="12" xfId="7" applyNumberFormat="1" applyFont="1" applyFill="1" applyBorder="1" applyAlignment="1" applyProtection="1">
      <alignment horizontal="center" vertical="center" wrapText="1"/>
    </xf>
    <xf numFmtId="4" fontId="4" fillId="3" borderId="28" xfId="7" applyNumberFormat="1" applyFont="1" applyFill="1" applyBorder="1" applyAlignment="1" applyProtection="1">
      <alignment horizontal="center" vertical="center" wrapText="1"/>
    </xf>
    <xf numFmtId="4" fontId="4" fillId="3" borderId="0" xfId="7" applyNumberFormat="1" applyFont="1" applyFill="1" applyBorder="1" applyAlignment="1" applyProtection="1">
      <alignment horizontal="center" vertical="center" wrapText="1"/>
    </xf>
    <xf numFmtId="0" fontId="19" fillId="3" borderId="1" xfId="7" applyFont="1" applyFill="1" applyBorder="1" applyAlignment="1" applyProtection="1">
      <alignment horizontal="center" vertical="center"/>
    </xf>
    <xf numFmtId="0" fontId="35" fillId="3" borderId="3" xfId="7" applyFont="1" applyFill="1" applyBorder="1" applyAlignment="1" applyProtection="1">
      <alignment horizontal="center" vertical="center"/>
    </xf>
    <xf numFmtId="0" fontId="47" fillId="3" borderId="1" xfId="7" applyFont="1" applyFill="1" applyBorder="1" applyAlignment="1" applyProtection="1">
      <alignment horizontal="center" vertical="center" wrapText="1"/>
    </xf>
    <xf numFmtId="0" fontId="19" fillId="3" borderId="1" xfId="7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19" fillId="3" borderId="27" xfId="7" applyFont="1" applyFill="1" applyBorder="1" applyAlignment="1" applyProtection="1">
      <alignment horizontal="center" vertical="center" wrapText="1"/>
    </xf>
    <xf numFmtId="180" fontId="0" fillId="0" borderId="0" xfId="0" applyNumberFormat="1" applyProtection="1"/>
    <xf numFmtId="4" fontId="0" fillId="0" borderId="0" xfId="0" applyNumberFormat="1" applyProtection="1"/>
    <xf numFmtId="0" fontId="35" fillId="3" borderId="3" xfId="7" applyFont="1" applyFill="1" applyBorder="1" applyAlignment="1" applyProtection="1">
      <alignment horizontal="center" vertical="center" wrapText="1"/>
    </xf>
    <xf numFmtId="0" fontId="35" fillId="3" borderId="4" xfId="7" applyFont="1" applyFill="1" applyBorder="1" applyAlignment="1" applyProtection="1">
      <alignment horizontal="center" vertical="center" wrapText="1"/>
    </xf>
    <xf numFmtId="0" fontId="61" fillId="0" borderId="0" xfId="7" applyFont="1" applyFill="1" applyBorder="1" applyAlignment="1" applyProtection="1">
      <alignment horizontal="center" wrapText="1"/>
    </xf>
    <xf numFmtId="180" fontId="19" fillId="7" borderId="5" xfId="7" applyNumberFormat="1" applyFont="1" applyFill="1" applyBorder="1" applyAlignment="1" applyProtection="1">
      <alignment horizontal="center" vertical="center"/>
    </xf>
    <xf numFmtId="180" fontId="47" fillId="3" borderId="0" xfId="7" applyNumberFormat="1" applyFont="1" applyFill="1" applyBorder="1" applyAlignment="1" applyProtection="1">
      <alignment vertical="center"/>
    </xf>
    <xf numFmtId="180" fontId="19" fillId="21" borderId="5" xfId="7" applyNumberFormat="1" applyFont="1" applyFill="1" applyBorder="1" applyAlignment="1" applyProtection="1">
      <alignment horizontal="center" vertical="center"/>
    </xf>
    <xf numFmtId="180" fontId="19" fillId="3" borderId="0" xfId="7" applyNumberFormat="1" applyFont="1" applyFill="1" applyBorder="1" applyAlignment="1" applyProtection="1">
      <alignment vertical="center"/>
    </xf>
    <xf numFmtId="180" fontId="19" fillId="3" borderId="6" xfId="7" applyNumberFormat="1" applyFont="1" applyFill="1" applyBorder="1" applyAlignment="1" applyProtection="1">
      <alignment horizontal="center" vertical="center"/>
    </xf>
    <xf numFmtId="180" fontId="19" fillId="21" borderId="6" xfId="7" applyNumberFormat="1" applyFont="1" applyFill="1" applyBorder="1" applyAlignment="1" applyProtection="1">
      <alignment horizontal="center" vertical="center"/>
    </xf>
    <xf numFmtId="180" fontId="19" fillId="21" borderId="7" xfId="7" applyNumberFormat="1" applyFont="1" applyFill="1" applyBorder="1" applyAlignment="1" applyProtection="1">
      <alignment horizontal="center" vertical="center"/>
    </xf>
    <xf numFmtId="0" fontId="86" fillId="0" borderId="0" xfId="0" applyFont="1" applyAlignment="1" applyProtection="1">
      <alignment wrapText="1"/>
    </xf>
    <xf numFmtId="0" fontId="86" fillId="0" borderId="1" xfId="0" applyFont="1" applyBorder="1" applyAlignment="1" applyProtection="1">
      <alignment wrapText="1"/>
    </xf>
    <xf numFmtId="0" fontId="91" fillId="3" borderId="1" xfId="0" applyFont="1" applyFill="1" applyBorder="1" applyAlignment="1" applyProtection="1">
      <alignment horizontal="center" wrapText="1"/>
    </xf>
    <xf numFmtId="0" fontId="91" fillId="0" borderId="1" xfId="0" applyFont="1" applyBorder="1" applyAlignment="1" applyProtection="1">
      <alignment horizontal="center" wrapText="1"/>
    </xf>
    <xf numFmtId="0" fontId="86" fillId="3" borderId="1" xfId="0" applyFont="1" applyFill="1" applyBorder="1" applyAlignment="1" applyProtection="1">
      <alignment wrapText="1"/>
    </xf>
    <xf numFmtId="0" fontId="91" fillId="0" borderId="0" xfId="0" applyFont="1" applyBorder="1" applyAlignment="1" applyProtection="1">
      <alignment wrapText="1"/>
    </xf>
    <xf numFmtId="0" fontId="89" fillId="0" borderId="0" xfId="0" applyFont="1" applyBorder="1" applyAlignment="1" applyProtection="1">
      <alignment horizontal="right" wrapText="1"/>
    </xf>
    <xf numFmtId="0" fontId="104" fillId="0" borderId="0" xfId="0" applyFont="1" applyBorder="1" applyAlignment="1" applyProtection="1">
      <alignment wrapText="1"/>
    </xf>
    <xf numFmtId="0" fontId="86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80" fontId="91" fillId="0" borderId="1" xfId="0" applyNumberFormat="1" applyFont="1" applyBorder="1" applyAlignment="1" applyProtection="1">
      <alignment horizontal="center" vertical="center" wrapText="1"/>
    </xf>
    <xf numFmtId="180" fontId="86" fillId="0" borderId="0" xfId="0" applyNumberFormat="1" applyFont="1" applyBorder="1" applyAlignment="1" applyProtection="1">
      <alignment horizontal="center" vertical="center" wrapText="1"/>
    </xf>
    <xf numFmtId="0" fontId="91" fillId="0" borderId="0" xfId="0" applyFont="1" applyAlignment="1" applyProtection="1">
      <alignment wrapText="1"/>
    </xf>
    <xf numFmtId="0" fontId="91" fillId="0" borderId="0" xfId="0" applyFont="1" applyAlignment="1" applyProtection="1">
      <alignment horizontal="center" wrapText="1"/>
    </xf>
    <xf numFmtId="0" fontId="87" fillId="3" borderId="0" xfId="0" applyFont="1" applyFill="1" applyBorder="1" applyAlignment="1" applyProtection="1">
      <alignment horizontal="center" vertical="center" wrapText="1"/>
    </xf>
    <xf numFmtId="0" fontId="91" fillId="3" borderId="0" xfId="0" applyFont="1" applyFill="1" applyBorder="1" applyAlignment="1" applyProtection="1">
      <alignment horizontal="center" vertical="center" wrapText="1"/>
    </xf>
    <xf numFmtId="180" fontId="91" fillId="3" borderId="27" xfId="0" applyNumberFormat="1" applyFont="1" applyFill="1" applyBorder="1" applyAlignment="1" applyProtection="1">
      <alignment horizontal="center" vertical="center" wrapText="1"/>
    </xf>
    <xf numFmtId="180" fontId="91" fillId="3" borderId="0" xfId="0" applyNumberFormat="1" applyFont="1" applyFill="1" applyBorder="1" applyAlignment="1" applyProtection="1">
      <alignment horizontal="center" vertical="center" wrapText="1"/>
    </xf>
    <xf numFmtId="180" fontId="86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180" fontId="98" fillId="0" borderId="0" xfId="0" applyNumberFormat="1" applyFont="1" applyBorder="1" applyAlignment="1" applyProtection="1">
      <alignment horizontal="center" vertical="center" wrapText="1"/>
    </xf>
    <xf numFmtId="180" fontId="98" fillId="3" borderId="0" xfId="0" applyNumberFormat="1" applyFont="1" applyFill="1" applyBorder="1" applyAlignment="1" applyProtection="1">
      <alignment horizontal="center" vertical="center" wrapText="1"/>
    </xf>
    <xf numFmtId="0" fontId="91" fillId="3" borderId="0" xfId="0" applyFont="1" applyFill="1" applyBorder="1" applyAlignment="1" applyProtection="1">
      <alignment wrapText="1"/>
    </xf>
    <xf numFmtId="0" fontId="89" fillId="3" borderId="0" xfId="0" applyFont="1" applyFill="1" applyBorder="1" applyAlignment="1" applyProtection="1">
      <alignment horizontal="left" vertical="center" wrapText="1"/>
    </xf>
    <xf numFmtId="0" fontId="91" fillId="3" borderId="0" xfId="0" applyFont="1" applyFill="1" applyBorder="1" applyAlignment="1" applyProtection="1">
      <alignment horizontal="center" wrapText="1"/>
    </xf>
    <xf numFmtId="0" fontId="86" fillId="3" borderId="0" xfId="0" applyFont="1" applyFill="1" applyBorder="1" applyAlignment="1" applyProtection="1">
      <alignment wrapText="1"/>
    </xf>
    <xf numFmtId="0" fontId="0" fillId="3" borderId="0" xfId="0" applyFill="1" applyBorder="1" applyProtection="1"/>
    <xf numFmtId="0" fontId="80" fillId="0" borderId="0" xfId="0" applyFont="1" applyBorder="1" applyAlignment="1" applyProtection="1">
      <alignment horizontal="center" vertical="center" wrapText="1"/>
    </xf>
    <xf numFmtId="180" fontId="91" fillId="3" borderId="1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87" fillId="0" borderId="0" xfId="0" applyFont="1" applyBorder="1" applyAlignment="1" applyProtection="1">
      <alignment horizontal="center" vertical="center" wrapText="1"/>
    </xf>
    <xf numFmtId="0" fontId="91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4" fontId="128" fillId="22" borderId="1" xfId="0" applyNumberFormat="1" applyFont="1" applyFill="1" applyBorder="1" applyAlignment="1" applyProtection="1">
      <alignment horizontal="center" vertical="center" wrapText="1"/>
    </xf>
    <xf numFmtId="0" fontId="89" fillId="0" borderId="0" xfId="0" applyFont="1" applyBorder="1" applyAlignment="1" applyProtection="1">
      <alignment horizontal="justify" vertical="center" wrapText="1"/>
    </xf>
    <xf numFmtId="4" fontId="86" fillId="0" borderId="0" xfId="0" applyNumberFormat="1" applyFont="1" applyBorder="1" applyAlignment="1" applyProtection="1">
      <alignment wrapText="1"/>
    </xf>
    <xf numFmtId="180" fontId="86" fillId="0" borderId="0" xfId="0" applyNumberFormat="1" applyFont="1" applyBorder="1" applyAlignment="1" applyProtection="1">
      <alignment wrapText="1"/>
    </xf>
    <xf numFmtId="182" fontId="92" fillId="0" borderId="0" xfId="0" applyNumberFormat="1" applyFont="1" applyBorder="1" applyAlignment="1" applyProtection="1">
      <alignment wrapText="1"/>
    </xf>
    <xf numFmtId="181" fontId="133" fillId="0" borderId="0" xfId="0" applyNumberFormat="1" applyFont="1" applyAlignment="1" applyProtection="1">
      <alignment wrapText="1"/>
    </xf>
    <xf numFmtId="181" fontId="134" fillId="3" borderId="0" xfId="0" applyNumberFormat="1" applyFont="1" applyFill="1" applyBorder="1" applyAlignment="1" applyProtection="1">
      <alignment vertical="center" wrapText="1"/>
    </xf>
    <xf numFmtId="4" fontId="92" fillId="7" borderId="1" xfId="0" applyNumberFormat="1" applyFont="1" applyFill="1" applyBorder="1" applyAlignment="1" applyProtection="1">
      <alignment horizontal="center" vertical="center" wrapText="1"/>
    </xf>
    <xf numFmtId="0" fontId="91" fillId="3" borderId="0" xfId="0" applyFont="1" applyFill="1" applyBorder="1" applyAlignment="1" applyProtection="1">
      <alignment horizontal="left" vertical="center" wrapText="1"/>
    </xf>
    <xf numFmtId="180" fontId="128" fillId="3" borderId="0" xfId="0" applyNumberFormat="1" applyFont="1" applyFill="1" applyBorder="1" applyAlignment="1" applyProtection="1">
      <alignment horizontal="center" vertical="center" wrapText="1"/>
    </xf>
    <xf numFmtId="0" fontId="0" fillId="19" borderId="0" xfId="0" applyFill="1" applyAlignment="1" applyProtection="1">
      <alignment wrapText="1"/>
    </xf>
    <xf numFmtId="0" fontId="0" fillId="23" borderId="0" xfId="0" applyFill="1" applyAlignment="1" applyProtection="1">
      <alignment wrapText="1"/>
    </xf>
    <xf numFmtId="180" fontId="89" fillId="3" borderId="0" xfId="0" applyNumberFormat="1" applyFont="1" applyFill="1" applyBorder="1" applyAlignment="1" applyProtection="1">
      <alignment horizontal="center" vertical="center" wrapText="1"/>
    </xf>
    <xf numFmtId="4" fontId="91" fillId="3" borderId="0" xfId="0" applyNumberFormat="1" applyFont="1" applyFill="1" applyBorder="1" applyAlignment="1" applyProtection="1">
      <alignment horizontal="center" vertical="center" wrapText="1"/>
    </xf>
    <xf numFmtId="0" fontId="104" fillId="0" borderId="0" xfId="0" applyFont="1" applyAlignment="1" applyProtection="1">
      <alignment horizontal="center" wrapText="1"/>
    </xf>
    <xf numFmtId="0" fontId="89" fillId="0" borderId="0" xfId="0" applyFont="1" applyBorder="1" applyAlignment="1" applyProtection="1">
      <alignment horizontal="left" vertical="center" wrapText="1"/>
    </xf>
    <xf numFmtId="0" fontId="91" fillId="3" borderId="29" xfId="0" applyFont="1" applyFill="1" applyBorder="1" applyAlignment="1" applyProtection="1">
      <alignment horizontal="center" vertical="center" wrapText="1"/>
    </xf>
    <xf numFmtId="0" fontId="91" fillId="0" borderId="27" xfId="0" applyFont="1" applyBorder="1" applyAlignment="1" applyProtection="1">
      <alignment horizontal="center" vertical="center" wrapText="1"/>
    </xf>
    <xf numFmtId="0" fontId="104" fillId="0" borderId="0" xfId="0" applyFont="1" applyBorder="1" applyAlignment="1" applyProtection="1">
      <alignment vertical="center" wrapText="1"/>
    </xf>
    <xf numFmtId="0" fontId="89" fillId="0" borderId="0" xfId="0" applyFont="1" applyBorder="1" applyAlignment="1" applyProtection="1">
      <alignment vertical="center" wrapText="1"/>
    </xf>
    <xf numFmtId="0" fontId="91" fillId="3" borderId="0" xfId="0" applyFont="1" applyFill="1" applyAlignment="1" applyProtection="1">
      <alignment horizontal="center" wrapText="1"/>
    </xf>
    <xf numFmtId="0" fontId="86" fillId="3" borderId="0" xfId="0" applyFont="1" applyFill="1" applyAlignment="1" applyProtection="1">
      <alignment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" fontId="90" fillId="3" borderId="0" xfId="0" applyNumberFormat="1" applyFont="1" applyFill="1" applyBorder="1" applyAlignment="1" applyProtection="1">
      <alignment horizontal="center" vertical="center" wrapText="1"/>
    </xf>
    <xf numFmtId="4" fontId="135" fillId="3" borderId="0" xfId="0" applyNumberFormat="1" applyFont="1" applyFill="1" applyBorder="1" applyAlignment="1" applyProtection="1">
      <alignment vertical="center" wrapText="1"/>
    </xf>
    <xf numFmtId="4" fontId="86" fillId="3" borderId="0" xfId="0" applyNumberFormat="1" applyFont="1" applyFill="1" applyBorder="1" applyAlignment="1" applyProtection="1">
      <alignment horizontal="center" vertical="center" wrapText="1"/>
    </xf>
    <xf numFmtId="4" fontId="86" fillId="24" borderId="0" xfId="0" applyNumberFormat="1" applyFont="1" applyFill="1" applyBorder="1" applyAlignment="1" applyProtection="1">
      <alignment wrapText="1"/>
    </xf>
    <xf numFmtId="4" fontId="87" fillId="3" borderId="0" xfId="0" applyNumberFormat="1" applyFont="1" applyFill="1" applyBorder="1" applyAlignment="1" applyProtection="1">
      <alignment horizontal="center" vertical="center" wrapText="1"/>
    </xf>
    <xf numFmtId="0" fontId="91" fillId="0" borderId="0" xfId="0" applyFont="1" applyBorder="1" applyAlignment="1" applyProtection="1">
      <alignment vertical="center" wrapText="1"/>
    </xf>
    <xf numFmtId="0" fontId="97" fillId="3" borderId="0" xfId="0" applyFont="1" applyFill="1" applyBorder="1" applyAlignment="1" applyProtection="1">
      <alignment horizontal="center" wrapText="1"/>
    </xf>
    <xf numFmtId="4" fontId="91" fillId="3" borderId="0" xfId="0" applyNumberFormat="1" applyFont="1" applyFill="1" applyBorder="1" applyAlignment="1" applyProtection="1">
      <alignment horizontal="left" vertical="center" wrapText="1"/>
    </xf>
    <xf numFmtId="4" fontId="91" fillId="3" borderId="0" xfId="0" applyNumberFormat="1" applyFont="1" applyFill="1" applyBorder="1" applyAlignment="1" applyProtection="1">
      <alignment vertical="center" wrapText="1"/>
    </xf>
    <xf numFmtId="0" fontId="102" fillId="0" borderId="0" xfId="0" applyFont="1" applyBorder="1" applyAlignment="1" applyProtection="1">
      <alignment vertical="center" wrapText="1"/>
    </xf>
    <xf numFmtId="0" fontId="136" fillId="0" borderId="0" xfId="0" applyFont="1" applyBorder="1" applyAlignment="1" applyProtection="1">
      <alignment horizontal="center" wrapText="1"/>
    </xf>
    <xf numFmtId="180" fontId="86" fillId="3" borderId="0" xfId="0" applyNumberFormat="1" applyFont="1" applyFill="1" applyBorder="1" applyAlignment="1" applyProtection="1">
      <alignment horizontal="center" vertical="center" wrapText="1"/>
    </xf>
    <xf numFmtId="0" fontId="86" fillId="3" borderId="0" xfId="0" applyNumberFormat="1" applyFont="1" applyFill="1" applyBorder="1" applyAlignment="1" applyProtection="1">
      <alignment horizontal="center" vertical="center" wrapText="1"/>
    </xf>
    <xf numFmtId="4" fontId="86" fillId="3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Alignment="1" applyProtection="1">
      <alignment wrapText="1"/>
    </xf>
    <xf numFmtId="0" fontId="96" fillId="0" borderId="0" xfId="0" applyFont="1" applyBorder="1" applyAlignment="1" applyProtection="1">
      <alignment horizontal="left" vertical="center" wrapText="1"/>
    </xf>
    <xf numFmtId="180" fontId="0" fillId="0" borderId="0" xfId="0" applyNumberFormat="1" applyAlignment="1" applyProtection="1">
      <alignment wrapText="1"/>
    </xf>
    <xf numFmtId="180" fontId="0" fillId="0" borderId="0" xfId="0" applyNumberFormat="1" applyBorder="1" applyAlignment="1" applyProtection="1">
      <alignment wrapText="1"/>
    </xf>
    <xf numFmtId="4" fontId="91" fillId="0" borderId="0" xfId="0" applyNumberFormat="1" applyFont="1" applyBorder="1" applyAlignment="1" applyProtection="1">
      <alignment horizontal="center" vertical="center" wrapText="1"/>
    </xf>
    <xf numFmtId="180" fontId="91" fillId="7" borderId="12" xfId="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horizontal="center" vertical="center" wrapText="1"/>
    </xf>
    <xf numFmtId="180" fontId="128" fillId="0" borderId="0" xfId="0" applyNumberFormat="1" applyFont="1" applyFill="1" applyBorder="1" applyAlignment="1" applyProtection="1">
      <alignment horizontal="center" vertical="center" wrapText="1"/>
    </xf>
    <xf numFmtId="180" fontId="9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08" fillId="24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181" fontId="91" fillId="0" borderId="0" xfId="0" applyNumberFormat="1" applyFont="1" applyAlignment="1" applyProtection="1">
      <alignment wrapText="1"/>
    </xf>
    <xf numFmtId="0" fontId="91" fillId="3" borderId="0" xfId="0" applyFont="1" applyFill="1" applyAlignment="1" applyProtection="1">
      <alignment wrapText="1"/>
    </xf>
    <xf numFmtId="4" fontId="86" fillId="0" borderId="0" xfId="0" applyNumberFormat="1" applyFont="1" applyBorder="1" applyAlignment="1" applyProtection="1">
      <alignment horizontal="center" vertical="center" wrapText="1"/>
    </xf>
    <xf numFmtId="4" fontId="86" fillId="3" borderId="0" xfId="0" applyNumberFormat="1" applyFont="1" applyFill="1" applyBorder="1" applyAlignment="1" applyProtection="1">
      <alignment wrapText="1"/>
    </xf>
    <xf numFmtId="0" fontId="86" fillId="0" borderId="0" xfId="0" applyFont="1" applyBorder="1" applyAlignment="1" applyProtection="1">
      <alignment horizontal="center" vertical="center" wrapText="1"/>
    </xf>
    <xf numFmtId="3" fontId="128" fillId="3" borderId="0" xfId="0" applyNumberFormat="1" applyFont="1" applyFill="1" applyBorder="1" applyAlignment="1" applyProtection="1">
      <alignment vertical="center" wrapText="1"/>
    </xf>
    <xf numFmtId="4" fontId="128" fillId="3" borderId="0" xfId="0" applyNumberFormat="1" applyFont="1" applyFill="1" applyBorder="1" applyAlignment="1" applyProtection="1">
      <alignment horizontal="center" vertical="center" wrapText="1"/>
    </xf>
    <xf numFmtId="0" fontId="108" fillId="0" borderId="0" xfId="0" applyFont="1" applyProtection="1"/>
    <xf numFmtId="0" fontId="88" fillId="0" borderId="0" xfId="0" applyFont="1" applyFill="1" applyAlignment="1" applyProtection="1">
      <alignment wrapText="1"/>
      <protection hidden="1"/>
    </xf>
    <xf numFmtId="4" fontId="0" fillId="3" borderId="0" xfId="0" applyNumberFormat="1" applyFill="1" applyAlignment="1" applyProtection="1">
      <alignment wrapText="1"/>
    </xf>
    <xf numFmtId="4" fontId="98" fillId="3" borderId="0" xfId="0" applyNumberFormat="1" applyFont="1" applyFill="1" applyBorder="1" applyAlignment="1">
      <alignment horizontal="center" vertical="center" wrapText="1"/>
    </xf>
    <xf numFmtId="0" fontId="14" fillId="3" borderId="1" xfId="7" applyFont="1" applyFill="1" applyBorder="1" applyAlignment="1">
      <alignment horizontal="center" vertical="center"/>
    </xf>
    <xf numFmtId="4" fontId="4" fillId="3" borderId="0" xfId="7" applyNumberFormat="1" applyFont="1" applyFill="1" applyBorder="1" applyAlignment="1" applyProtection="1">
      <alignment horizontal="center" vertical="center" wrapText="1"/>
    </xf>
    <xf numFmtId="0" fontId="91" fillId="0" borderId="1" xfId="0" applyFont="1" applyBorder="1" applyAlignment="1" applyProtection="1">
      <alignment horizontal="center" vertical="center" wrapText="1"/>
    </xf>
    <xf numFmtId="0" fontId="14" fillId="3" borderId="1" xfId="7" applyFont="1" applyFill="1" applyBorder="1" applyAlignment="1">
      <alignment horizontal="center" vertical="center" wrapText="1"/>
    </xf>
    <xf numFmtId="16" fontId="19" fillId="3" borderId="0" xfId="7" applyNumberFormat="1" applyFont="1" applyFill="1" applyBorder="1" applyAlignment="1">
      <alignment horizontal="left" wrapText="1" indent="2"/>
    </xf>
    <xf numFmtId="0" fontId="18" fillId="3" borderId="0" xfId="7" applyFont="1" applyFill="1" applyBorder="1" applyAlignment="1">
      <alignment horizontal="left" vertical="center" wrapText="1"/>
    </xf>
    <xf numFmtId="0" fontId="23" fillId="3" borderId="0" xfId="7" applyFont="1" applyFill="1" applyBorder="1" applyAlignment="1">
      <alignment horizontal="left" vertical="center"/>
    </xf>
    <xf numFmtId="0" fontId="22" fillId="3" borderId="0" xfId="7" applyFont="1" applyFill="1" applyBorder="1" applyAlignment="1">
      <alignment vertical="center" wrapText="1"/>
    </xf>
    <xf numFmtId="0" fontId="137" fillId="0" borderId="0" xfId="5" applyFont="1" applyAlignment="1"/>
    <xf numFmtId="0" fontId="22" fillId="0" borderId="0" xfId="7" applyFont="1" applyFill="1" applyBorder="1" applyAlignment="1">
      <alignment horizontal="left"/>
    </xf>
    <xf numFmtId="49" fontId="22" fillId="3" borderId="0" xfId="7" applyNumberFormat="1" applyFont="1" applyFill="1" applyBorder="1" applyAlignment="1">
      <alignment horizontal="left" vertical="top" wrapText="1" indent="1" readingOrder="1"/>
    </xf>
    <xf numFmtId="0" fontId="22" fillId="0" borderId="0" xfId="7" applyFont="1" applyFill="1" applyBorder="1" applyAlignment="1">
      <alignment horizontal="center" vertical="center"/>
    </xf>
    <xf numFmtId="0" fontId="22" fillId="3" borderId="0" xfId="7" applyFont="1" applyFill="1" applyBorder="1" applyAlignment="1">
      <alignment vertical="center"/>
    </xf>
    <xf numFmtId="0" fontId="22" fillId="0" borderId="0" xfId="7" applyFont="1" applyFill="1" applyBorder="1" applyAlignment="1">
      <alignment vertical="center" wrapText="1"/>
    </xf>
    <xf numFmtId="0" fontId="28" fillId="3" borderId="0" xfId="7" applyFont="1" applyFill="1" applyBorder="1" applyAlignment="1">
      <alignment horizontal="left" vertical="center" wrapText="1"/>
    </xf>
    <xf numFmtId="0" fontId="88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3" fontId="87" fillId="3" borderId="1" xfId="0" applyNumberFormat="1" applyFont="1" applyFill="1" applyBorder="1" applyAlignment="1">
      <alignment horizontal="center" vertical="center" wrapText="1"/>
    </xf>
    <xf numFmtId="0" fontId="130" fillId="0" borderId="0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 wrapText="1"/>
    </xf>
    <xf numFmtId="1" fontId="4" fillId="3" borderId="1" xfId="7" applyNumberFormat="1" applyFont="1" applyFill="1" applyBorder="1" applyAlignment="1">
      <alignment horizontal="center" vertical="center" wrapText="1"/>
    </xf>
    <xf numFmtId="1" fontId="91" fillId="3" borderId="1" xfId="0" applyNumberFormat="1" applyFont="1" applyFill="1" applyBorder="1" applyAlignment="1">
      <alignment horizontal="center" vertical="center"/>
    </xf>
    <xf numFmtId="4" fontId="14" fillId="3" borderId="0" xfId="7" applyNumberFormat="1" applyFont="1" applyFill="1" applyBorder="1" applyAlignment="1">
      <alignment horizontal="center" vertical="center" wrapText="1"/>
    </xf>
    <xf numFmtId="1" fontId="4" fillId="3" borderId="0" xfId="7" applyNumberFormat="1" applyFont="1" applyFill="1" applyBorder="1" applyAlignment="1">
      <alignment horizontal="center" vertical="center" wrapText="1"/>
    </xf>
    <xf numFmtId="1" fontId="91" fillId="3" borderId="0" xfId="0" applyNumberFormat="1" applyFont="1" applyFill="1" applyBorder="1" applyAlignment="1">
      <alignment horizontal="center" vertical="center"/>
    </xf>
    <xf numFmtId="16" fontId="23" fillId="3" borderId="0" xfId="7" applyNumberFormat="1" applyFont="1" applyFill="1" applyBorder="1" applyAlignment="1">
      <alignment horizontal="left" vertical="center" wrapText="1"/>
    </xf>
    <xf numFmtId="4" fontId="91" fillId="14" borderId="1" xfId="0" applyNumberFormat="1" applyFont="1" applyFill="1" applyBorder="1" applyAlignment="1">
      <alignment horizontal="center" vertical="center" wrapText="1"/>
    </xf>
    <xf numFmtId="4" fontId="14" fillId="14" borderId="1" xfId="7" applyNumberFormat="1" applyFont="1" applyFill="1" applyBorder="1" applyAlignment="1">
      <alignment horizontal="center" vertical="center" wrapText="1"/>
    </xf>
    <xf numFmtId="4" fontId="91" fillId="3" borderId="0" xfId="0" applyNumberFormat="1" applyFont="1" applyFill="1" applyBorder="1" applyAlignment="1">
      <alignment horizontal="center" vertical="center"/>
    </xf>
    <xf numFmtId="4" fontId="91" fillId="3" borderId="1" xfId="0" applyNumberFormat="1" applyFont="1" applyFill="1" applyBorder="1" applyAlignment="1">
      <alignment horizontal="center" vertical="center"/>
    </xf>
    <xf numFmtId="180" fontId="4" fillId="0" borderId="0" xfId="7" applyNumberFormat="1" applyFont="1" applyFill="1" applyBorder="1" applyAlignment="1">
      <alignment horizontal="center" vertical="center"/>
    </xf>
    <xf numFmtId="0" fontId="138" fillId="0" borderId="0" xfId="0" applyFont="1" applyAlignment="1">
      <alignment horizontal="left" vertical="center"/>
    </xf>
    <xf numFmtId="0" fontId="139" fillId="0" borderId="0" xfId="0" applyFont="1" applyAlignment="1">
      <alignment horizontal="left" vertical="center"/>
    </xf>
    <xf numFmtId="0" fontId="140" fillId="0" borderId="0" xfId="0" applyFont="1" applyAlignment="1">
      <alignment horizontal="left" vertical="center"/>
    </xf>
    <xf numFmtId="0" fontId="67" fillId="0" borderId="0" xfId="7" applyFont="1" applyFill="1" applyBorder="1" applyAlignment="1" applyProtection="1">
      <alignment vertical="center"/>
      <protection locked="0"/>
    </xf>
    <xf numFmtId="0" fontId="116" fillId="0" borderId="0" xfId="0" applyFont="1" applyAlignment="1">
      <alignment vertical="center"/>
    </xf>
    <xf numFmtId="0" fontId="67" fillId="0" borderId="0" xfId="7" applyFont="1" applyFill="1" applyBorder="1" applyAlignment="1">
      <alignment vertical="center"/>
    </xf>
    <xf numFmtId="0" fontId="113" fillId="0" borderId="0" xfId="7" applyFont="1" applyFill="1" applyBorder="1" applyAlignment="1">
      <alignment vertical="center"/>
    </xf>
    <xf numFmtId="0" fontId="141" fillId="0" borderId="0" xfId="0" applyFont="1" applyBorder="1"/>
    <xf numFmtId="0" fontId="141" fillId="0" borderId="0" xfId="0" applyFont="1" applyAlignment="1">
      <alignment vertical="center"/>
    </xf>
    <xf numFmtId="0" fontId="140" fillId="14" borderId="0" xfId="0" applyFont="1" applyFill="1" applyAlignment="1">
      <alignment horizontal="left" vertical="center"/>
    </xf>
    <xf numFmtId="0" fontId="137" fillId="0" borderId="0" xfId="5" applyFont="1" applyAlignment="1">
      <alignment horizontal="left" vertical="center"/>
    </xf>
    <xf numFmtId="0" fontId="142" fillId="0" borderId="0" xfId="5" applyFont="1" applyAlignment="1">
      <alignment horizontal="left" vertical="center"/>
    </xf>
    <xf numFmtId="0" fontId="138" fillId="14" borderId="0" xfId="0" applyFont="1" applyFill="1" applyAlignment="1">
      <alignment horizontal="left" vertical="center"/>
    </xf>
    <xf numFmtId="0" fontId="139" fillId="14" borderId="0" xfId="0" applyFont="1" applyFill="1" applyAlignment="1">
      <alignment horizontal="left" vertical="center"/>
    </xf>
    <xf numFmtId="4" fontId="91" fillId="3" borderId="1" xfId="0" applyNumberFormat="1" applyFont="1" applyFill="1" applyBorder="1" applyAlignment="1" applyProtection="1">
      <alignment horizontal="center" vertical="center" wrapText="1"/>
    </xf>
    <xf numFmtId="0" fontId="91" fillId="3" borderId="1" xfId="0" applyFont="1" applyFill="1" applyBorder="1" applyAlignment="1" applyProtection="1">
      <alignment horizontal="center" vertical="center" wrapText="1"/>
    </xf>
    <xf numFmtId="4" fontId="4" fillId="3" borderId="1" xfId="7" applyNumberFormat="1" applyFont="1" applyFill="1" applyBorder="1" applyAlignment="1" applyProtection="1">
      <alignment horizontal="center" vertical="center" wrapText="1"/>
    </xf>
    <xf numFmtId="4" fontId="4" fillId="3" borderId="12" xfId="7" applyNumberFormat="1" applyFont="1" applyFill="1" applyBorder="1" applyAlignment="1" applyProtection="1">
      <alignment horizontal="center" vertical="center" wrapText="1"/>
    </xf>
    <xf numFmtId="0" fontId="91" fillId="3" borderId="12" xfId="0" applyFont="1" applyFill="1" applyBorder="1" applyAlignment="1" applyProtection="1">
      <alignment horizontal="center" vertical="center" wrapText="1"/>
    </xf>
    <xf numFmtId="0" fontId="91" fillId="0" borderId="12" xfId="0" applyFont="1" applyBorder="1" applyAlignment="1" applyProtection="1">
      <alignment horizontal="center" vertical="center" wrapText="1"/>
    </xf>
    <xf numFmtId="0" fontId="87" fillId="0" borderId="1" xfId="0" applyFont="1" applyBorder="1" applyAlignment="1" applyProtection="1">
      <alignment horizontal="center" vertical="center" wrapText="1"/>
    </xf>
    <xf numFmtId="0" fontId="91" fillId="0" borderId="1" xfId="0" applyFont="1" applyBorder="1" applyAlignment="1" applyProtection="1">
      <alignment horizontal="left" vertical="center" wrapText="1"/>
    </xf>
    <xf numFmtId="0" fontId="91" fillId="0" borderId="1" xfId="0" applyFont="1" applyBorder="1" applyAlignment="1" applyProtection="1">
      <alignment horizontal="center" vertical="center" wrapText="1"/>
    </xf>
    <xf numFmtId="4" fontId="104" fillId="3" borderId="1" xfId="0" applyNumberFormat="1" applyFont="1" applyFill="1" applyBorder="1" applyAlignment="1" applyProtection="1">
      <alignment horizontal="center" vertical="center" wrapText="1"/>
    </xf>
    <xf numFmtId="0" fontId="45" fillId="3" borderId="1" xfId="7" applyFont="1" applyFill="1" applyBorder="1" applyAlignment="1">
      <alignment horizontal="center" vertical="center"/>
    </xf>
    <xf numFmtId="180" fontId="7" fillId="0" borderId="1" xfId="7" applyNumberFormat="1" applyFont="1" applyFill="1" applyBorder="1" applyAlignment="1">
      <alignment horizontal="center" vertical="center"/>
    </xf>
    <xf numFmtId="0" fontId="9" fillId="3" borderId="0" xfId="7" applyFont="1" applyFill="1" applyBorder="1" applyAlignment="1">
      <alignment vertical="center"/>
    </xf>
    <xf numFmtId="3" fontId="91" fillId="0" borderId="0" xfId="0" applyNumberFormat="1" applyFont="1" applyFill="1" applyBorder="1" applyAlignment="1" applyProtection="1">
      <alignment horizontal="center" vertical="center" wrapText="1"/>
    </xf>
    <xf numFmtId="4" fontId="116" fillId="3" borderId="0" xfId="0" applyNumberFormat="1" applyFont="1" applyFill="1" applyBorder="1" applyAlignment="1" applyProtection="1">
      <alignment horizontal="center" vertical="center" wrapText="1"/>
    </xf>
    <xf numFmtId="180" fontId="116" fillId="3" borderId="0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143" fillId="22" borderId="1" xfId="0" applyNumberFormat="1" applyFont="1" applyFill="1" applyBorder="1" applyAlignment="1" applyProtection="1">
      <alignment horizontal="center" vertical="center" wrapText="1"/>
    </xf>
    <xf numFmtId="0" fontId="143" fillId="22" borderId="1" xfId="0" applyFont="1" applyFill="1" applyBorder="1" applyAlignment="1" applyProtection="1">
      <alignment horizontal="center" vertical="center" wrapText="1"/>
    </xf>
    <xf numFmtId="180" fontId="143" fillId="22" borderId="1" xfId="0" applyNumberFormat="1" applyFont="1" applyFill="1" applyBorder="1" applyAlignment="1" applyProtection="1">
      <alignment horizontal="center" vertical="center" wrapText="1"/>
    </xf>
    <xf numFmtId="4" fontId="143" fillId="22" borderId="10" xfId="0" applyNumberFormat="1" applyFont="1" applyFill="1" applyBorder="1" applyAlignment="1" applyProtection="1">
      <alignment horizontal="center" vertical="center" wrapText="1"/>
    </xf>
    <xf numFmtId="3" fontId="143" fillId="22" borderId="10" xfId="0" applyNumberFormat="1" applyFont="1" applyFill="1" applyBorder="1" applyAlignment="1" applyProtection="1">
      <alignment horizontal="center" vertical="center" wrapText="1"/>
    </xf>
    <xf numFmtId="3" fontId="143" fillId="22" borderId="1" xfId="0" applyNumberFormat="1" applyFont="1" applyFill="1" applyBorder="1" applyAlignment="1" applyProtection="1">
      <alignment horizontal="center" vertical="center" wrapText="1"/>
    </xf>
    <xf numFmtId="180" fontId="143" fillId="22" borderId="12" xfId="0" applyNumberFormat="1" applyFont="1" applyFill="1" applyBorder="1" applyAlignment="1" applyProtection="1">
      <alignment horizontal="center" vertical="center" wrapText="1"/>
    </xf>
    <xf numFmtId="3" fontId="143" fillId="22" borderId="12" xfId="0" applyNumberFormat="1" applyFont="1" applyFill="1" applyBorder="1" applyAlignment="1" applyProtection="1">
      <alignment horizontal="center" vertical="center" wrapText="1"/>
    </xf>
    <xf numFmtId="0" fontId="108" fillId="0" borderId="1" xfId="0" applyFont="1" applyBorder="1" applyAlignment="1">
      <alignment horizontal="left"/>
    </xf>
    <xf numFmtId="0" fontId="91" fillId="10" borderId="1" xfId="0" applyFont="1" applyFill="1" applyBorder="1" applyAlignment="1">
      <alignment horizontal="center"/>
    </xf>
    <xf numFmtId="0" fontId="89" fillId="10" borderId="1" xfId="0" applyFont="1" applyFill="1" applyBorder="1" applyAlignment="1">
      <alignment horizontal="left" vertical="center" wrapText="1"/>
    </xf>
    <xf numFmtId="0" fontId="108" fillId="10" borderId="1" xfId="0" applyFont="1" applyFill="1" applyBorder="1" applyAlignment="1">
      <alignment horizontal="center"/>
    </xf>
    <xf numFmtId="0" fontId="108" fillId="10" borderId="1" xfId="0" applyFont="1" applyFill="1" applyBorder="1"/>
    <xf numFmtId="182" fontId="14" fillId="3" borderId="1" xfId="7" applyNumberFormat="1" applyFont="1" applyFill="1" applyBorder="1" applyAlignment="1" applyProtection="1">
      <alignment vertical="center"/>
      <protection locked="0"/>
    </xf>
    <xf numFmtId="180" fontId="14" fillId="3" borderId="1" xfId="7" applyNumberFormat="1" applyFont="1" applyFill="1" applyBorder="1" applyAlignment="1" applyProtection="1">
      <alignment vertical="center"/>
      <protection locked="0"/>
    </xf>
    <xf numFmtId="4" fontId="87" fillId="25" borderId="1" xfId="0" applyNumberFormat="1" applyFont="1" applyFill="1" applyBorder="1"/>
    <xf numFmtId="4" fontId="87" fillId="8" borderId="1" xfId="0" applyNumberFormat="1" applyFont="1" applyFill="1" applyBorder="1"/>
    <xf numFmtId="0" fontId="14" fillId="25" borderId="1" xfId="7" applyFont="1" applyFill="1" applyBorder="1" applyAlignment="1">
      <alignment horizontal="center" vertical="center" wrapText="1"/>
    </xf>
    <xf numFmtId="0" fontId="14" fillId="8" borderId="1" xfId="7" applyFont="1" applyFill="1" applyBorder="1" applyAlignment="1">
      <alignment horizontal="center" vertical="center" wrapText="1"/>
    </xf>
    <xf numFmtId="0" fontId="144" fillId="3" borderId="1" xfId="0" applyFont="1" applyFill="1" applyBorder="1" applyAlignment="1" applyProtection="1">
      <alignment wrapText="1"/>
    </xf>
    <xf numFmtId="18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7" applyNumberFormat="1" applyFont="1" applyFill="1" applyBorder="1" applyAlignment="1" applyProtection="1">
      <alignment horizontal="center" vertical="center" wrapText="1"/>
    </xf>
    <xf numFmtId="0" fontId="4" fillId="3" borderId="16" xfId="7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 applyProtection="1">
      <alignment horizontal="center" vertical="center" wrapText="1"/>
    </xf>
    <xf numFmtId="0" fontId="91" fillId="0" borderId="12" xfId="0" applyFont="1" applyBorder="1" applyAlignment="1">
      <alignment horizontal="center"/>
    </xf>
    <xf numFmtId="4" fontId="104" fillId="5" borderId="2" xfId="0" applyNumberFormat="1" applyFont="1" applyFill="1" applyBorder="1" applyAlignment="1">
      <alignment horizontal="center"/>
    </xf>
    <xf numFmtId="4" fontId="104" fillId="5" borderId="1" xfId="0" applyNumberFormat="1" applyFont="1" applyFill="1" applyBorder="1" applyAlignment="1">
      <alignment horizontal="center"/>
    </xf>
    <xf numFmtId="4" fontId="104" fillId="5" borderId="3" xfId="0" applyNumberFormat="1" applyFont="1" applyFill="1" applyBorder="1" applyAlignment="1">
      <alignment horizontal="center"/>
    </xf>
    <xf numFmtId="0" fontId="104" fillId="0" borderId="46" xfId="0" applyFont="1" applyBorder="1" applyAlignment="1">
      <alignment horizontal="center"/>
    </xf>
    <xf numFmtId="4" fontId="104" fillId="5" borderId="14" xfId="0" applyNumberFormat="1" applyFont="1" applyFill="1" applyBorder="1" applyAlignment="1">
      <alignment horizontal="center"/>
    </xf>
    <xf numFmtId="4" fontId="104" fillId="5" borderId="4" xfId="0" applyNumberFormat="1" applyFont="1" applyFill="1" applyBorder="1" applyAlignment="1">
      <alignment horizontal="center"/>
    </xf>
    <xf numFmtId="0" fontId="104" fillId="0" borderId="13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4" fontId="104" fillId="5" borderId="5" xfId="0" applyNumberFormat="1" applyFont="1" applyFill="1" applyBorder="1" applyAlignment="1">
      <alignment horizontal="center"/>
    </xf>
    <xf numFmtId="182" fontId="4" fillId="0" borderId="0" xfId="7" applyNumberFormat="1" applyFont="1" applyFill="1" applyBorder="1" applyAlignment="1">
      <alignment horizontal="center" vertical="center"/>
    </xf>
    <xf numFmtId="180" fontId="128" fillId="22" borderId="1" xfId="0" applyNumberFormat="1" applyFont="1" applyFill="1" applyBorder="1" applyAlignment="1" applyProtection="1">
      <alignment horizontal="center" vertical="center" wrapText="1"/>
    </xf>
    <xf numFmtId="180" fontId="4" fillId="3" borderId="1" xfId="7" applyNumberFormat="1" applyFont="1" applyFill="1" applyBorder="1" applyAlignment="1" applyProtection="1">
      <alignment horizontal="center" vertical="center" wrapText="1"/>
    </xf>
    <xf numFmtId="182" fontId="91" fillId="8" borderId="1" xfId="0" applyNumberFormat="1" applyFont="1" applyFill="1" applyBorder="1" applyAlignment="1" applyProtection="1">
      <alignment wrapText="1"/>
    </xf>
    <xf numFmtId="4" fontId="91" fillId="7" borderId="1" xfId="0" applyNumberFormat="1" applyFont="1" applyFill="1" applyBorder="1" applyAlignment="1" applyProtection="1">
      <alignment horizontal="center" vertical="center" wrapText="1"/>
    </xf>
    <xf numFmtId="180" fontId="91" fillId="7" borderId="1" xfId="0" applyNumberFormat="1" applyFont="1" applyFill="1" applyBorder="1" applyAlignment="1" applyProtection="1">
      <alignment horizontal="center" vertical="center" wrapText="1"/>
    </xf>
    <xf numFmtId="180" fontId="92" fillId="7" borderId="1" xfId="0" applyNumberFormat="1" applyFont="1" applyFill="1" applyBorder="1" applyAlignment="1" applyProtection="1">
      <alignment horizontal="center" vertical="center" wrapText="1"/>
    </xf>
    <xf numFmtId="0" fontId="145" fillId="3" borderId="0" xfId="7" applyFont="1" applyFill="1" applyBorder="1" applyAlignment="1">
      <alignment vertical="center"/>
    </xf>
    <xf numFmtId="4" fontId="128" fillId="3" borderId="1" xfId="0" applyNumberFormat="1" applyFont="1" applyFill="1" applyBorder="1" applyAlignment="1" applyProtection="1">
      <alignment horizontal="center" vertical="center" wrapText="1"/>
    </xf>
    <xf numFmtId="0" fontId="144" fillId="3" borderId="0" xfId="0" applyFont="1" applyFill="1" applyBorder="1" applyAlignment="1" applyProtection="1">
      <alignment wrapText="1"/>
    </xf>
    <xf numFmtId="0" fontId="108" fillId="3" borderId="0" xfId="0" applyFont="1" applyFill="1" applyBorder="1" applyAlignment="1">
      <alignment wrapText="1"/>
    </xf>
    <xf numFmtId="0" fontId="108" fillId="0" borderId="0" xfId="0" applyFont="1" applyBorder="1" applyAlignment="1">
      <alignment wrapText="1"/>
    </xf>
    <xf numFmtId="0" fontId="108" fillId="0" borderId="0" xfId="0" applyFont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0" fontId="91" fillId="3" borderId="53" xfId="0" applyFont="1" applyFill="1" applyBorder="1" applyAlignment="1">
      <alignment horizontal="center" vertical="center" wrapText="1"/>
    </xf>
    <xf numFmtId="0" fontId="128" fillId="3" borderId="1" xfId="0" applyFont="1" applyFill="1" applyBorder="1" applyAlignment="1" applyProtection="1">
      <alignment horizontal="center" vertical="center" wrapText="1"/>
    </xf>
    <xf numFmtId="0" fontId="146" fillId="3" borderId="1" xfId="0" applyFont="1" applyFill="1" applyBorder="1" applyAlignment="1" applyProtection="1">
      <alignment horizontal="center" vertical="center" wrapText="1"/>
    </xf>
    <xf numFmtId="180" fontId="128" fillId="3" borderId="1" xfId="0" applyNumberFormat="1" applyFont="1" applyFill="1" applyBorder="1" applyAlignment="1" applyProtection="1">
      <alignment horizontal="center" vertical="center" wrapText="1"/>
    </xf>
    <xf numFmtId="180" fontId="146" fillId="3" borderId="1" xfId="0" applyNumberFormat="1" applyFont="1" applyFill="1" applyBorder="1" applyAlignment="1" applyProtection="1">
      <alignment horizontal="center" vertical="center" wrapText="1"/>
    </xf>
    <xf numFmtId="182" fontId="91" fillId="3" borderId="1" xfId="0" applyNumberFormat="1" applyFont="1" applyFill="1" applyBorder="1" applyAlignment="1" applyProtection="1">
      <alignment horizontal="center" vertical="center" wrapText="1"/>
    </xf>
    <xf numFmtId="0" fontId="128" fillId="3" borderId="1" xfId="0" applyFont="1" applyFill="1" applyBorder="1" applyAlignment="1" applyProtection="1">
      <alignment horizontal="left" vertical="center" wrapText="1"/>
    </xf>
    <xf numFmtId="0" fontId="86" fillId="0" borderId="1" xfId="0" applyFont="1" applyBorder="1" applyAlignment="1" applyProtection="1">
      <alignment vertical="top" wrapText="1"/>
    </xf>
    <xf numFmtId="180" fontId="86" fillId="0" borderId="1" xfId="0" applyNumberFormat="1" applyFont="1" applyBorder="1" applyAlignment="1" applyProtection="1">
      <alignment horizontal="center" wrapText="1"/>
    </xf>
    <xf numFmtId="4" fontId="26" fillId="3" borderId="1" xfId="0" applyNumberFormat="1" applyFont="1" applyFill="1" applyBorder="1" applyAlignment="1" applyProtection="1">
      <alignment horizontal="center" vertical="center" wrapText="1"/>
    </xf>
    <xf numFmtId="4" fontId="91" fillId="0" borderId="1" xfId="0" applyNumberFormat="1" applyFont="1" applyBorder="1" applyAlignment="1" applyProtection="1">
      <alignment horizontal="center" vertical="center" wrapText="1"/>
    </xf>
    <xf numFmtId="180" fontId="104" fillId="0" borderId="1" xfId="0" applyNumberFormat="1" applyFont="1" applyBorder="1" applyAlignment="1" applyProtection="1">
      <alignment horizontal="center" wrapText="1"/>
    </xf>
    <xf numFmtId="180" fontId="104" fillId="0" borderId="1" xfId="0" applyNumberFormat="1" applyFont="1" applyBorder="1" applyAlignment="1" applyProtection="1">
      <alignment horizontal="center" vertical="center" wrapText="1"/>
    </xf>
    <xf numFmtId="4" fontId="92" fillId="3" borderId="1" xfId="0" applyNumberFormat="1" applyFont="1" applyFill="1" applyBorder="1" applyAlignment="1" applyProtection="1">
      <alignment horizontal="center" vertical="center" wrapText="1"/>
    </xf>
    <xf numFmtId="180" fontId="91" fillId="3" borderId="1" xfId="0" applyNumberFormat="1" applyFont="1" applyFill="1" applyBorder="1" applyAlignment="1" applyProtection="1">
      <alignment horizontal="center" vertical="center" wrapText="1"/>
    </xf>
    <xf numFmtId="180" fontId="104" fillId="7" borderId="1" xfId="0" applyNumberFormat="1" applyFont="1" applyFill="1" applyBorder="1" applyAlignment="1" applyProtection="1">
      <alignment horizontal="center" wrapText="1"/>
    </xf>
    <xf numFmtId="0" fontId="91" fillId="0" borderId="1" xfId="0" applyFont="1" applyFill="1" applyBorder="1" applyAlignment="1" applyProtection="1">
      <alignment horizontal="center" vertical="center" wrapText="1"/>
    </xf>
    <xf numFmtId="0" fontId="92" fillId="7" borderId="1" xfId="0" applyFont="1" applyFill="1" applyBorder="1" applyAlignment="1" applyProtection="1">
      <alignment horizontal="center" vertical="center" wrapText="1"/>
    </xf>
    <xf numFmtId="180" fontId="104" fillId="3" borderId="1" xfId="0" applyNumberFormat="1" applyFont="1" applyFill="1" applyBorder="1" applyAlignment="1" applyProtection="1">
      <alignment horizontal="center" vertical="center" wrapText="1"/>
    </xf>
    <xf numFmtId="180" fontId="10" fillId="7" borderId="1" xfId="0" applyNumberFormat="1" applyFont="1" applyFill="1" applyBorder="1" applyAlignment="1" applyProtection="1">
      <alignment horizontal="center" vertical="center" wrapText="1"/>
    </xf>
    <xf numFmtId="180" fontId="104" fillId="3" borderId="1" xfId="0" applyNumberFormat="1" applyFont="1" applyFill="1" applyBorder="1" applyAlignment="1" applyProtection="1">
      <alignment horizontal="center" wrapText="1"/>
    </xf>
    <xf numFmtId="0" fontId="91" fillId="0" borderId="42" xfId="0" applyFont="1" applyBorder="1" applyAlignment="1" applyProtection="1">
      <alignment horizontal="center" vertical="center" wrapText="1"/>
    </xf>
    <xf numFmtId="180" fontId="91" fillId="0" borderId="42" xfId="0" applyNumberFormat="1" applyFont="1" applyBorder="1" applyAlignment="1" applyProtection="1">
      <alignment horizontal="center" vertical="center" wrapText="1"/>
    </xf>
    <xf numFmtId="0" fontId="87" fillId="0" borderId="1" xfId="0" applyFont="1" applyBorder="1" applyAlignment="1" applyProtection="1">
      <alignment vertical="center" wrapText="1"/>
    </xf>
    <xf numFmtId="0" fontId="87" fillId="3" borderId="1" xfId="0" applyNumberFormat="1" applyFont="1" applyFill="1" applyBorder="1" applyAlignment="1" applyProtection="1">
      <alignment horizontal="center" vertical="center" wrapText="1"/>
    </xf>
    <xf numFmtId="0" fontId="87" fillId="0" borderId="12" xfId="0" applyFont="1" applyBorder="1" applyAlignment="1" applyProtection="1">
      <alignment horizontal="center" vertical="center" wrapText="1"/>
    </xf>
    <xf numFmtId="0" fontId="91" fillId="0" borderId="12" xfId="0" applyFont="1" applyBorder="1" applyAlignment="1" applyProtection="1">
      <alignment vertical="center" wrapText="1"/>
    </xf>
    <xf numFmtId="4" fontId="91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182" fontId="91" fillId="0" borderId="1" xfId="0" applyNumberFormat="1" applyFont="1" applyBorder="1" applyAlignment="1" applyProtection="1">
      <alignment horizontal="center" vertical="center" wrapText="1"/>
    </xf>
    <xf numFmtId="180" fontId="89" fillId="3" borderId="1" xfId="0" applyNumberFormat="1" applyFont="1" applyFill="1" applyBorder="1" applyAlignment="1" applyProtection="1">
      <alignment horizontal="center" vertical="center" wrapText="1"/>
    </xf>
    <xf numFmtId="0" fontId="91" fillId="3" borderId="1" xfId="0" applyNumberFormat="1" applyFont="1" applyFill="1" applyBorder="1" applyAlignment="1" applyProtection="1">
      <alignment horizontal="center" vertical="center" wrapText="1"/>
    </xf>
    <xf numFmtId="4" fontId="147" fillId="7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80" fontId="91" fillId="22" borderId="1" xfId="0" applyNumberFormat="1" applyFont="1" applyFill="1" applyBorder="1" applyAlignment="1" applyProtection="1">
      <alignment horizontal="center" vertical="center" wrapText="1"/>
    </xf>
    <xf numFmtId="4" fontId="4" fillId="3" borderId="12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wrapText="1"/>
    </xf>
    <xf numFmtId="182" fontId="18" fillId="3" borderId="1" xfId="7" applyNumberFormat="1" applyFont="1" applyFill="1" applyBorder="1" applyAlignment="1" applyProtection="1">
      <alignment vertical="center" wrapText="1"/>
    </xf>
    <xf numFmtId="180" fontId="8" fillId="3" borderId="1" xfId="0" applyNumberFormat="1" applyFont="1" applyFill="1" applyBorder="1" applyAlignment="1" applyProtection="1">
      <alignment horizontal="center" vertical="center" wrapText="1"/>
    </xf>
    <xf numFmtId="4" fontId="89" fillId="3" borderId="1" xfId="0" applyNumberFormat="1" applyFont="1" applyFill="1" applyBorder="1" applyAlignment="1" applyProtection="1">
      <alignment horizontal="center" vertical="center" wrapText="1"/>
    </xf>
    <xf numFmtId="180" fontId="7" fillId="3" borderId="1" xfId="0" applyNumberFormat="1" applyFont="1" applyFill="1" applyBorder="1" applyAlignment="1" applyProtection="1">
      <alignment horizontal="center" vertical="center" wrapText="1"/>
    </xf>
    <xf numFmtId="4" fontId="31" fillId="0" borderId="28" xfId="0" applyNumberFormat="1" applyFont="1" applyBorder="1" applyAlignment="1" applyProtection="1">
      <alignment vertical="center" wrapText="1"/>
    </xf>
    <xf numFmtId="4" fontId="31" fillId="0" borderId="0" xfId="0" applyNumberFormat="1" applyFont="1" applyBorder="1" applyAlignment="1" applyProtection="1">
      <alignment vertical="center" wrapText="1"/>
    </xf>
    <xf numFmtId="180" fontId="4" fillId="7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</xf>
    <xf numFmtId="3" fontId="91" fillId="0" borderId="1" xfId="0" applyNumberFormat="1" applyFont="1" applyBorder="1" applyAlignment="1" applyProtection="1">
      <alignment horizontal="center" vertical="center" wrapText="1"/>
    </xf>
    <xf numFmtId="0" fontId="91" fillId="3" borderId="1" xfId="0" applyFont="1" applyFill="1" applyBorder="1" applyAlignment="1" applyProtection="1">
      <alignment vertical="center" wrapText="1"/>
    </xf>
    <xf numFmtId="0" fontId="144" fillId="3" borderId="1" xfId="0" applyFont="1" applyFill="1" applyBorder="1" applyProtection="1"/>
    <xf numFmtId="0" fontId="0" fillId="0" borderId="1" xfId="0" applyBorder="1" applyProtection="1"/>
    <xf numFmtId="180" fontId="128" fillId="7" borderId="1" xfId="7" applyNumberFormat="1" applyFont="1" applyFill="1" applyBorder="1" applyAlignment="1" applyProtection="1">
      <alignment horizontal="center" vertical="center" wrapText="1"/>
    </xf>
    <xf numFmtId="0" fontId="97" fillId="3" borderId="1" xfId="0" applyFont="1" applyFill="1" applyBorder="1" applyAlignment="1" applyProtection="1">
      <alignment horizontal="center" wrapText="1"/>
    </xf>
    <xf numFmtId="180" fontId="4" fillId="7" borderId="1" xfId="7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7" borderId="1" xfId="7" applyNumberFormat="1" applyFont="1" applyFill="1" applyBorder="1" applyAlignment="1" applyProtection="1">
      <alignment horizontal="center" vertical="center" wrapText="1"/>
    </xf>
    <xf numFmtId="4" fontId="106" fillId="0" borderId="1" xfId="0" applyNumberFormat="1" applyFont="1" applyFill="1" applyBorder="1" applyAlignment="1" applyProtection="1">
      <alignment horizontal="center" wrapText="1"/>
    </xf>
    <xf numFmtId="4" fontId="128" fillId="3" borderId="1" xfId="7" applyNumberFormat="1" applyFont="1" applyFill="1" applyBorder="1" applyAlignment="1" applyProtection="1">
      <alignment horizontal="center" vertical="center"/>
    </xf>
    <xf numFmtId="180" fontId="4" fillId="0" borderId="12" xfId="7" applyNumberFormat="1" applyFont="1" applyFill="1" applyBorder="1" applyAlignment="1" applyProtection="1">
      <alignment horizontal="center" vertical="center" wrapText="1"/>
    </xf>
    <xf numFmtId="180" fontId="4" fillId="7" borderId="12" xfId="7" applyNumberFormat="1" applyFont="1" applyFill="1" applyBorder="1" applyAlignment="1" applyProtection="1">
      <alignment horizontal="center" vertical="center" wrapText="1"/>
    </xf>
    <xf numFmtId="0" fontId="87" fillId="3" borderId="1" xfId="0" applyFont="1" applyFill="1" applyBorder="1" applyAlignment="1" applyProtection="1">
      <alignment horizontal="center" vertical="center" wrapText="1"/>
    </xf>
    <xf numFmtId="0" fontId="91" fillId="3" borderId="1" xfId="0" applyFont="1" applyFill="1" applyBorder="1" applyAlignment="1" applyProtection="1">
      <alignment horizontal="left" vertical="center" wrapText="1"/>
    </xf>
    <xf numFmtId="0" fontId="148" fillId="3" borderId="1" xfId="0" applyFont="1" applyFill="1" applyBorder="1" applyAlignment="1" applyProtection="1">
      <alignment horizontal="center" vertical="center" wrapText="1"/>
    </xf>
    <xf numFmtId="180" fontId="128" fillId="7" borderId="1" xfId="0" applyNumberFormat="1" applyFont="1" applyFill="1" applyBorder="1" applyAlignment="1" applyProtection="1">
      <alignment horizontal="center" vertical="center" wrapText="1"/>
    </xf>
    <xf numFmtId="4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91" fillId="0" borderId="1" xfId="0" applyNumberFormat="1" applyFont="1" applyBorder="1" applyAlignment="1" applyProtection="1">
      <alignment horizontal="center" vertical="center" wrapText="1"/>
    </xf>
    <xf numFmtId="0" fontId="146" fillId="3" borderId="10" xfId="0" applyFont="1" applyFill="1" applyBorder="1" applyAlignment="1" applyProtection="1">
      <alignment horizontal="center" vertical="center" wrapText="1"/>
    </xf>
    <xf numFmtId="0" fontId="128" fillId="3" borderId="10" xfId="0" applyFont="1" applyFill="1" applyBorder="1" applyAlignment="1" applyProtection="1">
      <alignment horizontal="center" vertical="center" wrapText="1"/>
    </xf>
    <xf numFmtId="180" fontId="128" fillId="3" borderId="10" xfId="0" applyNumberFormat="1" applyFont="1" applyFill="1" applyBorder="1" applyAlignment="1" applyProtection="1">
      <alignment horizontal="center" vertical="center" wrapText="1"/>
    </xf>
    <xf numFmtId="180" fontId="146" fillId="3" borderId="10" xfId="0" applyNumberFormat="1" applyFont="1" applyFill="1" applyBorder="1" applyAlignment="1" applyProtection="1">
      <alignment horizontal="center" vertical="center" wrapText="1"/>
    </xf>
    <xf numFmtId="180" fontId="147" fillId="22" borderId="10" xfId="0" applyNumberFormat="1" applyFont="1" applyFill="1" applyBorder="1" applyAlignment="1" applyProtection="1">
      <alignment horizontal="center" vertical="center" wrapText="1"/>
    </xf>
    <xf numFmtId="0" fontId="0" fillId="24" borderId="10" xfId="0" applyFill="1" applyBorder="1" applyProtection="1"/>
    <xf numFmtId="0" fontId="149" fillId="3" borderId="1" xfId="0" applyFont="1" applyFill="1" applyBorder="1" applyAlignment="1" applyProtection="1">
      <alignment horizontal="center" vertical="center" wrapText="1"/>
    </xf>
    <xf numFmtId="4" fontId="134" fillId="3" borderId="1" xfId="0" applyNumberFormat="1" applyFont="1" applyFill="1" applyBorder="1" applyAlignment="1" applyProtection="1">
      <alignment horizontal="center" vertical="center" wrapText="1"/>
    </xf>
    <xf numFmtId="0" fontId="149" fillId="3" borderId="1" xfId="0" applyFont="1" applyFill="1" applyBorder="1" applyAlignment="1" applyProtection="1">
      <alignment vertical="center" wrapText="1"/>
    </xf>
    <xf numFmtId="180" fontId="13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7" applyNumberFormat="1" applyFont="1" applyFill="1" applyBorder="1" applyAlignment="1" applyProtection="1">
      <alignment vertical="center" wrapText="1"/>
      <protection hidden="1"/>
    </xf>
    <xf numFmtId="180" fontId="4" fillId="3" borderId="1" xfId="7" applyNumberFormat="1" applyFont="1" applyFill="1" applyBorder="1" applyAlignment="1" applyProtection="1">
      <alignment horizontal="center" vertical="center" wrapText="1"/>
    </xf>
    <xf numFmtId="180" fontId="128" fillId="3" borderId="1" xfId="0" applyNumberFormat="1" applyFont="1" applyFill="1" applyBorder="1" applyAlignment="1" applyProtection="1">
      <alignment horizontal="center" vertical="center" wrapText="1"/>
    </xf>
    <xf numFmtId="0" fontId="128" fillId="3" borderId="41" xfId="0" applyFont="1" applyFill="1" applyBorder="1" applyAlignment="1" applyProtection="1">
      <alignment horizontal="center" vertical="center" wrapText="1"/>
    </xf>
    <xf numFmtId="180" fontId="128" fillId="3" borderId="42" xfId="0" applyNumberFormat="1" applyFont="1" applyFill="1" applyBorder="1" applyAlignment="1" applyProtection="1">
      <alignment horizontal="center" vertical="center" wrapText="1"/>
    </xf>
    <xf numFmtId="1" fontId="91" fillId="0" borderId="1" xfId="0" applyNumberFormat="1" applyFont="1" applyBorder="1" applyAlignment="1" applyProtection="1">
      <alignment horizontal="center" vertical="center" wrapText="1"/>
    </xf>
    <xf numFmtId="4" fontId="4" fillId="3" borderId="12" xfId="7" applyNumberFormat="1" applyFont="1" applyFill="1" applyBorder="1" applyAlignment="1" applyProtection="1">
      <alignment horizontal="center" vertical="center" wrapText="1"/>
    </xf>
    <xf numFmtId="4" fontId="4" fillId="3" borderId="0" xfId="7" applyNumberFormat="1" applyFont="1" applyFill="1" applyBorder="1" applyAlignment="1" applyProtection="1">
      <alignment horizontal="center" vertical="center" wrapText="1"/>
    </xf>
    <xf numFmtId="0" fontId="4" fillId="3" borderId="16" xfId="7" applyFont="1" applyFill="1" applyBorder="1" applyAlignment="1">
      <alignment horizontal="center" vertical="center"/>
    </xf>
    <xf numFmtId="0" fontId="4" fillId="3" borderId="46" xfId="7" applyFont="1" applyFill="1" applyBorder="1" applyAlignment="1">
      <alignment horizontal="center" vertical="center"/>
    </xf>
    <xf numFmtId="0" fontId="4" fillId="3" borderId="1" xfId="7" applyFont="1" applyFill="1" applyBorder="1" applyAlignment="1">
      <alignment horizontal="center" vertical="center"/>
    </xf>
    <xf numFmtId="0" fontId="4" fillId="3" borderId="49" xfId="7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right" vertical="center" wrapText="1"/>
    </xf>
    <xf numFmtId="0" fontId="7" fillId="0" borderId="54" xfId="7" applyFont="1" applyFill="1" applyBorder="1" applyAlignment="1">
      <alignment horizontal="right" vertical="center" wrapText="1"/>
    </xf>
    <xf numFmtId="0" fontId="91" fillId="0" borderId="0" xfId="7" applyFont="1" applyFill="1" applyBorder="1" applyAlignment="1" applyProtection="1">
      <alignment horizontal="center" vertical="center" wrapText="1"/>
    </xf>
    <xf numFmtId="4" fontId="91" fillId="3" borderId="1" xfId="0" applyNumberFormat="1" applyFont="1" applyFill="1" applyBorder="1" applyAlignment="1">
      <alignment horizontal="center" vertical="center" wrapText="1"/>
    </xf>
    <xf numFmtId="0" fontId="14" fillId="3" borderId="1" xfId="7" applyFont="1" applyFill="1" applyBorder="1" applyAlignment="1">
      <alignment horizontal="center" vertical="center" wrapText="1"/>
    </xf>
    <xf numFmtId="0" fontId="14" fillId="3" borderId="1" xfId="7" applyFont="1" applyFill="1" applyBorder="1" applyAlignment="1">
      <alignment horizontal="center" vertical="center"/>
    </xf>
    <xf numFmtId="0" fontId="2" fillId="0" borderId="0" xfId="6"/>
    <xf numFmtId="0" fontId="5" fillId="0" borderId="0" xfId="6" applyFont="1"/>
    <xf numFmtId="0" fontId="72" fillId="0" borderId="0" xfId="6" applyFont="1"/>
    <xf numFmtId="0" fontId="91" fillId="3" borderId="12" xfId="0" applyFont="1" applyFill="1" applyBorder="1" applyAlignment="1">
      <alignment horizontal="center"/>
    </xf>
    <xf numFmtId="0" fontId="88" fillId="0" borderId="1" xfId="0" applyFont="1" applyBorder="1" applyAlignment="1">
      <alignment horizontal="center"/>
    </xf>
    <xf numFmtId="0" fontId="88" fillId="0" borderId="3" xfId="0" applyFont="1" applyBorder="1" applyAlignment="1">
      <alignment horizontal="center"/>
    </xf>
    <xf numFmtId="0" fontId="104" fillId="0" borderId="38" xfId="0" applyFont="1" applyFill="1" applyBorder="1" applyAlignment="1" applyProtection="1">
      <alignment horizontal="center" vertical="center"/>
      <protection locked="0"/>
    </xf>
    <xf numFmtId="4" fontId="10" fillId="3" borderId="25" xfId="7" applyNumberFormat="1" applyFont="1" applyFill="1" applyBorder="1" applyAlignment="1" applyProtection="1">
      <alignment horizontal="center" vertical="center" wrapText="1"/>
    </xf>
    <xf numFmtId="4" fontId="91" fillId="5" borderId="1" xfId="0" applyNumberFormat="1" applyFont="1" applyFill="1" applyBorder="1" applyAlignment="1" applyProtection="1">
      <alignment horizontal="center" vertical="center" wrapText="1"/>
    </xf>
    <xf numFmtId="4" fontId="150" fillId="5" borderId="1" xfId="0" applyNumberFormat="1" applyFont="1" applyFill="1" applyBorder="1" applyAlignment="1" applyProtection="1">
      <alignment horizontal="center" vertical="center" wrapText="1"/>
    </xf>
    <xf numFmtId="180" fontId="128" fillId="24" borderId="0" xfId="0" applyNumberFormat="1" applyFont="1" applyFill="1" applyBorder="1" applyAlignment="1" applyProtection="1">
      <alignment horizontal="center" vertical="center" wrapText="1"/>
    </xf>
    <xf numFmtId="0" fontId="104" fillId="0" borderId="18" xfId="0" applyFont="1" applyBorder="1"/>
    <xf numFmtId="4" fontId="104" fillId="15" borderId="10" xfId="0" applyNumberFormat="1" applyFont="1" applyFill="1" applyBorder="1" applyAlignment="1" applyProtection="1">
      <alignment horizontal="right"/>
    </xf>
    <xf numFmtId="4" fontId="104" fillId="15" borderId="25" xfId="0" applyNumberFormat="1" applyFont="1" applyFill="1" applyBorder="1" applyAlignment="1" applyProtection="1">
      <alignment horizontal="right"/>
    </xf>
    <xf numFmtId="4" fontId="104" fillId="3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" fontId="128" fillId="5" borderId="1" xfId="0" applyNumberFormat="1" applyFont="1" applyFill="1" applyBorder="1" applyAlignment="1" applyProtection="1">
      <alignment horizontal="center" vertical="center" wrapText="1"/>
    </xf>
    <xf numFmtId="4" fontId="146" fillId="5" borderId="1" xfId="0" applyNumberFormat="1" applyFont="1" applyFill="1" applyBorder="1" applyAlignment="1" applyProtection="1">
      <alignment horizontal="center" vertical="center" wrapText="1"/>
    </xf>
    <xf numFmtId="4" fontId="50" fillId="5" borderId="1" xfId="0" applyNumberFormat="1" applyFont="1" applyFill="1" applyBorder="1" applyAlignment="1" applyProtection="1">
      <alignment horizontal="center" vertical="center" wrapText="1"/>
    </xf>
    <xf numFmtId="180" fontId="128" fillId="5" borderId="1" xfId="0" applyNumberFormat="1" applyFont="1" applyFill="1" applyBorder="1" applyAlignment="1" applyProtection="1">
      <alignment horizontal="center" vertical="center" wrapText="1"/>
    </xf>
    <xf numFmtId="180" fontId="146" fillId="5" borderId="1" xfId="0" applyNumberFormat="1" applyFont="1" applyFill="1" applyBorder="1" applyAlignment="1" applyProtection="1">
      <alignment horizontal="center" vertical="center" wrapText="1"/>
    </xf>
    <xf numFmtId="4" fontId="4" fillId="5" borderId="1" xfId="7" applyNumberFormat="1" applyFont="1" applyFill="1" applyBorder="1" applyAlignment="1" applyProtection="1">
      <alignment horizontal="center" vertical="center" wrapText="1"/>
    </xf>
    <xf numFmtId="0" fontId="88" fillId="3" borderId="3" xfId="0" applyFont="1" applyFill="1" applyBorder="1" applyAlignment="1">
      <alignment horizontal="center"/>
    </xf>
    <xf numFmtId="0" fontId="118" fillId="0" borderId="37" xfId="0" applyFont="1" applyBorder="1"/>
    <xf numFmtId="182" fontId="13" fillId="5" borderId="7" xfId="0" applyNumberFormat="1" applyFont="1" applyFill="1" applyBorder="1"/>
    <xf numFmtId="182" fontId="55" fillId="5" borderId="7" xfId="0" applyNumberFormat="1" applyFont="1" applyFill="1" applyBorder="1"/>
    <xf numFmtId="182" fontId="18" fillId="5" borderId="7" xfId="0" applyNumberFormat="1" applyFont="1" applyFill="1" applyBorder="1"/>
    <xf numFmtId="182" fontId="55" fillId="5" borderId="7" xfId="0" applyNumberFormat="1" applyFont="1" applyFill="1" applyBorder="1" applyAlignment="1">
      <alignment vertical="center"/>
    </xf>
    <xf numFmtId="182" fontId="55" fillId="5" borderId="19" xfId="0" applyNumberFormat="1" applyFont="1" applyFill="1" applyBorder="1"/>
    <xf numFmtId="0" fontId="88" fillId="0" borderId="10" xfId="0" applyFont="1" applyBorder="1" applyAlignment="1">
      <alignment horizontal="center"/>
    </xf>
    <xf numFmtId="0" fontId="89" fillId="0" borderId="27" xfId="0" applyFont="1" applyFill="1" applyBorder="1" applyAlignment="1">
      <alignment horizontal="center"/>
    </xf>
    <xf numFmtId="182" fontId="6" fillId="0" borderId="27" xfId="0" applyNumberFormat="1" applyFont="1" applyFill="1" applyBorder="1" applyProtection="1">
      <protection locked="0"/>
    </xf>
    <xf numFmtId="182" fontId="55" fillId="0" borderId="27" xfId="0" applyNumberFormat="1" applyFont="1" applyFill="1" applyBorder="1" applyProtection="1">
      <protection locked="0"/>
    </xf>
    <xf numFmtId="182" fontId="11" fillId="5" borderId="27" xfId="0" applyNumberFormat="1" applyFont="1" applyFill="1" applyBorder="1" applyProtection="1"/>
    <xf numFmtId="182" fontId="11" fillId="5" borderId="30" xfId="0" applyNumberFormat="1" applyFont="1" applyFill="1" applyBorder="1" applyProtection="1"/>
    <xf numFmtId="0" fontId="4" fillId="3" borderId="1" xfId="0" applyFont="1" applyFill="1" applyBorder="1" applyAlignment="1">
      <alignment horizontal="center"/>
    </xf>
    <xf numFmtId="180" fontId="131" fillId="8" borderId="55" xfId="0" applyNumberFormat="1" applyFont="1" applyFill="1" applyBorder="1" applyAlignment="1" applyProtection="1">
      <alignment horizontal="center"/>
    </xf>
    <xf numFmtId="180" fontId="131" fillId="8" borderId="54" xfId="0" applyNumberFormat="1" applyFont="1" applyFill="1" applyBorder="1" applyAlignment="1" applyProtection="1">
      <alignment horizontal="center"/>
    </xf>
    <xf numFmtId="0" fontId="4" fillId="3" borderId="13" xfId="7" applyFont="1" applyFill="1" applyBorder="1" applyAlignment="1">
      <alignment horizontal="left" vertical="center"/>
    </xf>
    <xf numFmtId="4" fontId="112" fillId="0" borderId="12" xfId="7" applyNumberFormat="1" applyFont="1" applyFill="1" applyBorder="1" applyAlignment="1" applyProtection="1">
      <alignment horizontal="center" vertical="center"/>
      <protection locked="0"/>
    </xf>
    <xf numFmtId="181" fontId="7" fillId="6" borderId="12" xfId="7" applyNumberFormat="1" applyFont="1" applyFill="1" applyBorder="1" applyAlignment="1" applyProtection="1">
      <alignment horizontal="right" vertical="center"/>
    </xf>
    <xf numFmtId="181" fontId="7" fillId="6" borderId="17" xfId="7" applyNumberFormat="1" applyFont="1" applyFill="1" applyBorder="1" applyAlignment="1" applyProtection="1">
      <alignment horizontal="right" vertical="center"/>
    </xf>
    <xf numFmtId="14" fontId="7" fillId="3" borderId="2" xfId="7" applyNumberFormat="1" applyFont="1" applyFill="1" applyBorder="1" applyAlignment="1">
      <alignment horizontal="left" vertical="center"/>
    </xf>
    <xf numFmtId="4" fontId="8" fillId="6" borderId="3" xfId="7" applyNumberFormat="1" applyFont="1" applyFill="1" applyBorder="1" applyAlignment="1" applyProtection="1">
      <alignment horizontal="center" vertical="center"/>
    </xf>
    <xf numFmtId="4" fontId="89" fillId="6" borderId="1" xfId="0" applyNumberFormat="1" applyFont="1" applyFill="1" applyBorder="1"/>
    <xf numFmtId="4" fontId="91" fillId="6" borderId="1" xfId="0" quotePrefix="1" applyNumberFormat="1" applyFont="1" applyFill="1" applyBorder="1" applyAlignment="1">
      <alignment horizontal="center"/>
    </xf>
    <xf numFmtId="4" fontId="91" fillId="6" borderId="5" xfId="0" quotePrefix="1" applyNumberFormat="1" applyFont="1" applyFill="1" applyBorder="1" applyAlignment="1">
      <alignment horizontal="center"/>
    </xf>
    <xf numFmtId="4" fontId="89" fillId="6" borderId="5" xfId="0" applyNumberFormat="1" applyFont="1" applyFill="1" applyBorder="1"/>
    <xf numFmtId="4" fontId="91" fillId="6" borderId="6" xfId="0" applyNumberFormat="1" applyFont="1" applyFill="1" applyBorder="1"/>
    <xf numFmtId="4" fontId="89" fillId="6" borderId="24" xfId="0" applyNumberFormat="1" applyFont="1" applyFill="1" applyBorder="1"/>
    <xf numFmtId="4" fontId="89" fillId="6" borderId="3" xfId="0" applyNumberFormat="1" applyFont="1" applyFill="1" applyBorder="1"/>
    <xf numFmtId="4" fontId="91" fillId="6" borderId="3" xfId="0" applyNumberFormat="1" applyFont="1" applyFill="1" applyBorder="1"/>
    <xf numFmtId="4" fontId="91" fillId="6" borderId="10" xfId="0" applyNumberFormat="1" applyFont="1" applyFill="1" applyBorder="1"/>
    <xf numFmtId="4" fontId="89" fillId="6" borderId="10" xfId="0" applyNumberFormat="1" applyFont="1" applyFill="1" applyBorder="1"/>
    <xf numFmtId="4" fontId="91" fillId="6" borderId="12" xfId="0" applyNumberFormat="1" applyFont="1" applyFill="1" applyBorder="1"/>
    <xf numFmtId="4" fontId="89" fillId="6" borderId="6" xfId="0" applyNumberFormat="1" applyFont="1" applyFill="1" applyBorder="1" applyAlignment="1">
      <alignment horizontal="center"/>
    </xf>
    <xf numFmtId="4" fontId="89" fillId="6" borderId="1" xfId="0" applyNumberFormat="1" applyFont="1" applyFill="1" applyBorder="1" applyAlignment="1">
      <alignment horizontal="center"/>
    </xf>
    <xf numFmtId="4" fontId="89" fillId="6" borderId="5" xfId="0" applyNumberFormat="1" applyFont="1" applyFill="1" applyBorder="1" applyAlignment="1">
      <alignment horizontal="center"/>
    </xf>
    <xf numFmtId="4" fontId="91" fillId="6" borderId="3" xfId="0" applyNumberFormat="1" applyFont="1" applyFill="1" applyBorder="1" applyAlignment="1">
      <alignment horizontal="center"/>
    </xf>
    <xf numFmtId="4" fontId="91" fillId="6" borderId="1" xfId="0" applyNumberFormat="1" applyFont="1" applyFill="1" applyBorder="1" applyAlignment="1">
      <alignment horizontal="center"/>
    </xf>
    <xf numFmtId="4" fontId="91" fillId="6" borderId="10" xfId="0" applyNumberFormat="1" applyFont="1" applyFill="1" applyBorder="1" applyAlignment="1">
      <alignment horizontal="center"/>
    </xf>
    <xf numFmtId="4" fontId="92" fillId="6" borderId="1" xfId="0" applyNumberFormat="1" applyFont="1" applyFill="1" applyBorder="1" applyAlignment="1">
      <alignment horizontal="center"/>
    </xf>
    <xf numFmtId="4" fontId="89" fillId="6" borderId="11" xfId="0" applyNumberFormat="1" applyFont="1" applyFill="1" applyBorder="1"/>
    <xf numFmtId="4" fontId="89" fillId="6" borderId="38" xfId="0" applyNumberFormat="1" applyFont="1" applyFill="1" applyBorder="1"/>
    <xf numFmtId="4" fontId="89" fillId="6" borderId="3" xfId="0" applyNumberFormat="1" applyFont="1" applyFill="1" applyBorder="1" applyProtection="1"/>
    <xf numFmtId="4" fontId="89" fillId="6" borderId="4" xfId="0" applyNumberFormat="1" applyFont="1" applyFill="1" applyBorder="1" applyProtection="1"/>
    <xf numFmtId="4" fontId="91" fillId="6" borderId="6" xfId="0" applyNumberFormat="1" applyFont="1" applyFill="1" applyBorder="1" applyAlignment="1">
      <alignment horizontal="center"/>
    </xf>
    <xf numFmtId="4" fontId="89" fillId="6" borderId="4" xfId="0" applyNumberFormat="1" applyFont="1" applyFill="1" applyBorder="1"/>
    <xf numFmtId="4" fontId="134" fillId="3" borderId="1" xfId="0" applyNumberFormat="1" applyFont="1" applyFill="1" applyBorder="1" applyAlignment="1" applyProtection="1">
      <alignment vertical="center" wrapText="1"/>
    </xf>
    <xf numFmtId="180" fontId="4" fillId="3" borderId="1" xfId="7" applyNumberFormat="1" applyFont="1" applyFill="1" applyBorder="1" applyAlignment="1" applyProtection="1">
      <alignment vertical="center" wrapText="1"/>
    </xf>
    <xf numFmtId="180" fontId="91" fillId="5" borderId="1" xfId="0" applyNumberFormat="1" applyFont="1" applyFill="1" applyBorder="1" applyAlignment="1" applyProtection="1">
      <alignment horizontal="center" vertical="center" wrapText="1"/>
    </xf>
    <xf numFmtId="0" fontId="0" fillId="24" borderId="0" xfId="0" applyFill="1" applyAlignment="1" applyProtection="1">
      <alignment wrapText="1"/>
    </xf>
    <xf numFmtId="0" fontId="4" fillId="3" borderId="1" xfId="7" applyFont="1" applyFill="1" applyBorder="1" applyAlignment="1" applyProtection="1">
      <alignment horizontal="center" vertical="center"/>
    </xf>
    <xf numFmtId="0" fontId="4" fillId="14" borderId="1" xfId="7" applyFont="1" applyFill="1" applyBorder="1" applyAlignment="1" applyProtection="1">
      <alignment horizontal="center" vertical="center" wrapText="1"/>
    </xf>
    <xf numFmtId="16" fontId="4" fillId="0" borderId="1" xfId="7" applyNumberFormat="1" applyFont="1" applyFill="1" applyBorder="1" applyAlignment="1">
      <alignment horizontal="center" vertical="center"/>
    </xf>
    <xf numFmtId="0" fontId="4" fillId="3" borderId="2" xfId="7" applyFont="1" applyFill="1" applyBorder="1" applyAlignment="1" applyProtection="1">
      <alignment horizontal="center" vertical="center"/>
    </xf>
    <xf numFmtId="0" fontId="4" fillId="3" borderId="5" xfId="7" applyFont="1" applyFill="1" applyBorder="1" applyAlignment="1" applyProtection="1">
      <alignment horizontal="center" vertical="center"/>
    </xf>
    <xf numFmtId="16" fontId="4" fillId="3" borderId="1" xfId="7" applyNumberFormat="1" applyFont="1" applyFill="1" applyBorder="1" applyAlignment="1" applyProtection="1">
      <alignment horizontal="center" vertical="center"/>
    </xf>
    <xf numFmtId="0" fontId="4" fillId="3" borderId="56" xfId="7" applyFont="1" applyFill="1" applyBorder="1" applyAlignment="1" applyProtection="1">
      <alignment horizontal="center" vertical="center" wrapText="1"/>
    </xf>
    <xf numFmtId="0" fontId="4" fillId="3" borderId="57" xfId="7" applyFont="1" applyFill="1" applyBorder="1" applyAlignment="1" applyProtection="1">
      <alignment horizontal="center" vertical="center"/>
    </xf>
    <xf numFmtId="180" fontId="4" fillId="15" borderId="1" xfId="7" applyNumberFormat="1" applyFont="1" applyFill="1" applyBorder="1" applyAlignment="1" applyProtection="1">
      <alignment vertical="center"/>
    </xf>
    <xf numFmtId="182" fontId="151" fillId="3" borderId="0" xfId="0" applyNumberFormat="1" applyFont="1" applyFill="1" applyBorder="1" applyAlignment="1" applyProtection="1">
      <alignment horizontal="center"/>
    </xf>
    <xf numFmtId="0" fontId="4" fillId="3" borderId="1" xfId="7" applyFont="1" applyFill="1" applyBorder="1" applyAlignment="1" applyProtection="1">
      <alignment horizontal="center" vertical="center" wrapText="1"/>
      <protection locked="0"/>
    </xf>
    <xf numFmtId="0" fontId="4" fillId="3" borderId="1" xfId="7" applyFont="1" applyFill="1" applyBorder="1" applyAlignment="1" applyProtection="1">
      <alignment horizontal="center" vertical="center"/>
      <protection locked="0"/>
    </xf>
    <xf numFmtId="183" fontId="4" fillId="0" borderId="0" xfId="7" applyNumberFormat="1" applyFont="1" applyFill="1" applyBorder="1" applyAlignment="1" applyProtection="1">
      <alignment horizontal="center" vertical="center" wrapText="1"/>
    </xf>
    <xf numFmtId="180" fontId="91" fillId="0" borderId="6" xfId="7" applyNumberFormat="1" applyFont="1" applyFill="1" applyBorder="1" applyAlignment="1" applyProtection="1">
      <alignment vertical="center"/>
      <protection locked="0"/>
    </xf>
    <xf numFmtId="0" fontId="91" fillId="3" borderId="7" xfId="0" applyNumberFormat="1" applyFont="1" applyFill="1" applyBorder="1" applyAlignment="1">
      <alignment horizontal="center" vertical="center" wrapText="1"/>
    </xf>
    <xf numFmtId="0" fontId="4" fillId="3" borderId="42" xfId="7" applyFont="1" applyFill="1" applyBorder="1" applyAlignment="1" applyProtection="1">
      <alignment horizontal="center" vertical="center"/>
    </xf>
    <xf numFmtId="4" fontId="4" fillId="15" borderId="8" xfId="7" applyNumberFormat="1" applyFont="1" applyFill="1" applyBorder="1" applyAlignment="1" applyProtection="1">
      <alignment horizontal="center" vertical="center"/>
      <protection locked="0"/>
    </xf>
    <xf numFmtId="4" fontId="4" fillId="15" borderId="6" xfId="7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80" fontId="91" fillId="15" borderId="43" xfId="7" applyNumberFormat="1" applyFont="1" applyFill="1" applyBorder="1" applyAlignment="1" applyProtection="1">
      <alignment vertical="center"/>
    </xf>
    <xf numFmtId="0" fontId="4" fillId="3" borderId="34" xfId="7" applyFont="1" applyFill="1" applyBorder="1" applyAlignment="1" applyProtection="1">
      <alignment horizontal="center" vertical="center"/>
    </xf>
    <xf numFmtId="180" fontId="91" fillId="0" borderId="35" xfId="7" applyNumberFormat="1" applyFont="1" applyFill="1" applyBorder="1" applyAlignment="1" applyProtection="1">
      <alignment vertical="center"/>
      <protection locked="0"/>
    </xf>
    <xf numFmtId="0" fontId="7" fillId="0" borderId="54" xfId="7" applyFont="1" applyFill="1" applyBorder="1" applyAlignment="1">
      <alignment vertical="center" wrapText="1"/>
    </xf>
    <xf numFmtId="0" fontId="7" fillId="0" borderId="0" xfId="7" applyFont="1" applyFill="1" applyBorder="1" applyAlignment="1">
      <alignment vertical="center" wrapText="1"/>
    </xf>
    <xf numFmtId="0" fontId="7" fillId="0" borderId="0" xfId="7" applyFont="1" applyFill="1" applyBorder="1" applyAlignment="1" applyProtection="1">
      <alignment horizontal="right" vertical="center"/>
      <protection locked="0"/>
    </xf>
    <xf numFmtId="0" fontId="104" fillId="0" borderId="0" xfId="0" applyFont="1" applyProtection="1"/>
    <xf numFmtId="0" fontId="152" fillId="0" borderId="0" xfId="0" applyFont="1" applyProtection="1"/>
    <xf numFmtId="4" fontId="10" fillId="3" borderId="0" xfId="7" applyNumberFormat="1" applyFont="1" applyFill="1" applyBorder="1" applyAlignment="1" applyProtection="1">
      <alignment horizontal="center" vertical="center"/>
      <protection locked="0"/>
    </xf>
    <xf numFmtId="49" fontId="147" fillId="3" borderId="0" xfId="7" applyNumberFormat="1" applyFont="1" applyFill="1" applyBorder="1" applyAlignment="1" applyProtection="1">
      <alignment vertical="center" wrapText="1"/>
    </xf>
    <xf numFmtId="16" fontId="4" fillId="3" borderId="0" xfId="7" applyNumberFormat="1" applyFont="1" applyFill="1" applyBorder="1" applyAlignment="1" applyProtection="1">
      <alignment horizontal="center" vertical="center"/>
    </xf>
    <xf numFmtId="49" fontId="147" fillId="3" borderId="0" xfId="7" applyNumberFormat="1" applyFont="1" applyFill="1" applyBorder="1" applyAlignment="1" applyProtection="1">
      <alignment horizontal="center" vertical="center" wrapText="1" readingOrder="1"/>
    </xf>
    <xf numFmtId="4" fontId="128" fillId="3" borderId="0" xfId="7" applyNumberFormat="1" applyFont="1" applyFill="1" applyBorder="1" applyAlignment="1" applyProtection="1">
      <alignment horizontal="center" vertical="center"/>
      <protection locked="0"/>
    </xf>
    <xf numFmtId="0" fontId="7" fillId="0" borderId="0" xfId="7" applyFont="1" applyFill="1" applyBorder="1" applyAlignment="1">
      <alignment horizontal="right" vertical="center" wrapText="1"/>
    </xf>
    <xf numFmtId="0" fontId="8" fillId="3" borderId="0" xfId="7" applyFont="1" applyFill="1" applyBorder="1" applyAlignment="1">
      <alignment vertical="center" wrapText="1"/>
    </xf>
    <xf numFmtId="0" fontId="8" fillId="3" borderId="0" xfId="7" applyFont="1" applyFill="1" applyBorder="1" applyAlignment="1">
      <alignment horizontal="center" vertical="center" wrapText="1"/>
    </xf>
    <xf numFmtId="4" fontId="9" fillId="3" borderId="0" xfId="7" applyNumberFormat="1" applyFont="1" applyFill="1" applyBorder="1" applyAlignment="1" applyProtection="1">
      <alignment horizontal="center" vertical="center"/>
      <protection locked="0"/>
    </xf>
    <xf numFmtId="4" fontId="91" fillId="6" borderId="1" xfId="0" quotePrefix="1" applyNumberFormat="1" applyFont="1" applyFill="1" applyBorder="1" applyAlignment="1">
      <alignment horizontal="right"/>
    </xf>
    <xf numFmtId="180" fontId="24" fillId="9" borderId="1" xfId="7" applyNumberFormat="1" applyFont="1" applyFill="1" applyBorder="1" applyAlignment="1" applyProtection="1">
      <alignment horizontal="center" vertical="center"/>
    </xf>
    <xf numFmtId="49" fontId="48" fillId="9" borderId="1" xfId="7" applyNumberFormat="1" applyFont="1" applyFill="1" applyBorder="1" applyAlignment="1" applyProtection="1">
      <alignment horizontal="center" vertical="center" wrapText="1" readingOrder="1"/>
    </xf>
    <xf numFmtId="4" fontId="91" fillId="6" borderId="12" xfId="0" quotePrefix="1" applyNumberFormat="1" applyFont="1" applyFill="1" applyBorder="1" applyAlignment="1">
      <alignment horizontal="right"/>
    </xf>
    <xf numFmtId="4" fontId="91" fillId="0" borderId="49" xfId="0" applyNumberFormat="1" applyFont="1" applyBorder="1" applyProtection="1">
      <protection locked="0"/>
    </xf>
    <xf numFmtId="4" fontId="91" fillId="0" borderId="22" xfId="0" applyNumberFormat="1" applyFont="1" applyBorder="1" applyProtection="1">
      <protection locked="0"/>
    </xf>
    <xf numFmtId="4" fontId="14" fillId="3" borderId="9" xfId="7" applyNumberFormat="1" applyFont="1" applyFill="1" applyBorder="1" applyAlignment="1">
      <alignment horizontal="center" vertical="center" wrapText="1"/>
    </xf>
    <xf numFmtId="1" fontId="19" fillId="3" borderId="9" xfId="7" applyNumberFormat="1" applyFont="1" applyFill="1" applyBorder="1" applyAlignment="1">
      <alignment horizontal="center" vertical="center" wrapText="1"/>
    </xf>
    <xf numFmtId="4" fontId="91" fillId="6" borderId="9" xfId="0" quotePrefix="1" applyNumberFormat="1" applyFont="1" applyFill="1" applyBorder="1" applyAlignment="1">
      <alignment horizontal="center"/>
    </xf>
    <xf numFmtId="4" fontId="89" fillId="6" borderId="9" xfId="0" applyNumberFormat="1" applyFont="1" applyFill="1" applyBorder="1"/>
    <xf numFmtId="4" fontId="89" fillId="6" borderId="39" xfId="0" applyNumberFormat="1" applyFont="1" applyFill="1" applyBorder="1"/>
    <xf numFmtId="4" fontId="89" fillId="6" borderId="9" xfId="0" applyNumberFormat="1" applyFont="1" applyFill="1" applyBorder="1" applyAlignment="1">
      <alignment horizontal="center"/>
    </xf>
    <xf numFmtId="4" fontId="91" fillId="0" borderId="38" xfId="0" applyNumberFormat="1" applyFont="1" applyBorder="1" applyProtection="1">
      <protection locked="0"/>
    </xf>
    <xf numFmtId="4" fontId="91" fillId="0" borderId="9" xfId="0" applyNumberFormat="1" applyFont="1" applyBorder="1" applyProtection="1">
      <protection locked="0"/>
    </xf>
    <xf numFmtId="4" fontId="89" fillId="6" borderId="25" xfId="0" applyNumberFormat="1" applyFont="1" applyFill="1" applyBorder="1"/>
    <xf numFmtId="4" fontId="92" fillId="6" borderId="9" xfId="0" applyNumberFormat="1" applyFont="1" applyFill="1" applyBorder="1" applyAlignment="1">
      <alignment horizontal="center"/>
    </xf>
    <xf numFmtId="4" fontId="89" fillId="6" borderId="38" xfId="0" applyNumberFormat="1" applyFont="1" applyFill="1" applyBorder="1" applyProtection="1"/>
    <xf numFmtId="4" fontId="91" fillId="6" borderId="9" xfId="0" applyNumberFormat="1" applyFont="1" applyFill="1" applyBorder="1" applyAlignment="1">
      <alignment horizontal="center"/>
    </xf>
    <xf numFmtId="4" fontId="91" fillId="0" borderId="28" xfId="0" applyNumberFormat="1" applyFont="1" applyBorder="1" applyProtection="1">
      <protection locked="0"/>
    </xf>
    <xf numFmtId="0" fontId="14" fillId="3" borderId="2" xfId="7" applyFont="1" applyFill="1" applyBorder="1" applyAlignment="1">
      <alignment horizontal="center" vertical="center" wrapText="1"/>
    </xf>
    <xf numFmtId="1" fontId="19" fillId="3" borderId="2" xfId="7" applyNumberFormat="1" applyFont="1" applyFill="1" applyBorder="1" applyAlignment="1">
      <alignment horizontal="center" vertical="center" wrapText="1"/>
    </xf>
    <xf numFmtId="4" fontId="91" fillId="6" borderId="2" xfId="0" quotePrefix="1" applyNumberFormat="1" applyFont="1" applyFill="1" applyBorder="1" applyAlignment="1">
      <alignment horizontal="center"/>
    </xf>
    <xf numFmtId="4" fontId="89" fillId="6" borderId="2" xfId="0" applyNumberFormat="1" applyFont="1" applyFill="1" applyBorder="1"/>
    <xf numFmtId="4" fontId="91" fillId="0" borderId="13" xfId="0" applyNumberFormat="1" applyFont="1" applyBorder="1" applyProtection="1">
      <protection locked="0"/>
    </xf>
    <xf numFmtId="4" fontId="91" fillId="0" borderId="8" xfId="0" applyNumberFormat="1" applyFont="1" applyBorder="1" applyProtection="1">
      <protection locked="0"/>
    </xf>
    <xf numFmtId="4" fontId="89" fillId="6" borderId="14" xfId="0" applyNumberFormat="1" applyFont="1" applyFill="1" applyBorder="1"/>
    <xf numFmtId="4" fontId="91" fillId="0" borderId="2" xfId="0" applyNumberFormat="1" applyFont="1" applyBorder="1" applyProtection="1">
      <protection locked="0"/>
    </xf>
    <xf numFmtId="4" fontId="91" fillId="0" borderId="14" xfId="0" applyNumberFormat="1" applyFont="1" applyBorder="1" applyProtection="1">
      <protection locked="0"/>
    </xf>
    <xf numFmtId="4" fontId="89" fillId="6" borderId="18" xfId="0" applyNumberFormat="1" applyFont="1" applyFill="1" applyBorder="1"/>
    <xf numFmtId="4" fontId="89" fillId="6" borderId="53" xfId="0" applyNumberFormat="1" applyFont="1" applyFill="1" applyBorder="1"/>
    <xf numFmtId="4" fontId="91" fillId="6" borderId="10" xfId="0" quotePrefix="1" applyNumberFormat="1" applyFont="1" applyFill="1" applyBorder="1" applyAlignment="1">
      <alignment horizontal="right"/>
    </xf>
    <xf numFmtId="4" fontId="91" fillId="6" borderId="15" xfId="0" quotePrefix="1" applyNumberFormat="1" applyFont="1" applyFill="1" applyBorder="1" applyAlignment="1">
      <alignment horizontal="right"/>
    </xf>
    <xf numFmtId="4" fontId="91" fillId="6" borderId="16" xfId="0" quotePrefix="1" applyNumberFormat="1" applyFont="1" applyFill="1" applyBorder="1" applyAlignment="1">
      <alignment horizontal="right"/>
    </xf>
    <xf numFmtId="4" fontId="91" fillId="0" borderId="18" xfId="0" applyNumberFormat="1" applyFont="1" applyBorder="1" applyProtection="1">
      <protection locked="0"/>
    </xf>
    <xf numFmtId="4" fontId="91" fillId="0" borderId="10" xfId="0" applyNumberFormat="1" applyFont="1" applyBorder="1" applyProtection="1">
      <protection locked="0"/>
    </xf>
    <xf numFmtId="4" fontId="91" fillId="0" borderId="11" xfId="0" applyNumberFormat="1" applyFont="1" applyBorder="1" applyProtection="1">
      <protection locked="0"/>
    </xf>
    <xf numFmtId="4" fontId="91" fillId="6" borderId="3" xfId="0" quotePrefix="1" applyNumberFormat="1" applyFont="1" applyFill="1" applyBorder="1" applyAlignment="1">
      <alignment horizontal="right"/>
    </xf>
    <xf numFmtId="4" fontId="91" fillId="6" borderId="6" xfId="0" quotePrefix="1" applyNumberFormat="1" applyFont="1" applyFill="1" applyBorder="1" applyAlignment="1">
      <alignment horizontal="right"/>
    </xf>
    <xf numFmtId="4" fontId="4" fillId="3" borderId="13" xfId="7" applyNumberFormat="1" applyFont="1" applyFill="1" applyBorder="1" applyAlignment="1" applyProtection="1">
      <alignment horizontal="center" vertical="center" wrapText="1"/>
    </xf>
    <xf numFmtId="4" fontId="4" fillId="3" borderId="17" xfId="7" applyNumberFormat="1" applyFont="1" applyFill="1" applyBorder="1" applyAlignment="1" applyProtection="1">
      <alignment horizontal="center" vertical="center" wrapText="1"/>
    </xf>
    <xf numFmtId="4" fontId="4" fillId="3" borderId="47" xfId="7" applyNumberFormat="1" applyFont="1" applyFill="1" applyBorder="1" applyAlignment="1" applyProtection="1">
      <alignment horizontal="center" vertical="center" wrapText="1"/>
    </xf>
    <xf numFmtId="4" fontId="4" fillId="3" borderId="58" xfId="7" applyNumberFormat="1" applyFont="1" applyFill="1" applyBorder="1" applyAlignment="1" applyProtection="1">
      <alignment horizontal="center" vertical="center" wrapText="1"/>
    </xf>
    <xf numFmtId="4" fontId="4" fillId="3" borderId="55" xfId="7" applyNumberFormat="1" applyFont="1" applyFill="1" applyBorder="1" applyAlignment="1" applyProtection="1">
      <alignment horizontal="center" vertical="center" wrapText="1"/>
    </xf>
    <xf numFmtId="3" fontId="91" fillId="3" borderId="1" xfId="0" applyNumberFormat="1" applyFont="1" applyFill="1" applyBorder="1" applyAlignment="1">
      <alignment horizontal="center" vertical="center"/>
    </xf>
    <xf numFmtId="3" fontId="91" fillId="3" borderId="0" xfId="0" applyNumberFormat="1" applyFont="1" applyFill="1" applyBorder="1" applyAlignment="1">
      <alignment horizontal="center" vertical="center"/>
    </xf>
    <xf numFmtId="4" fontId="91" fillId="3" borderId="12" xfId="0" applyNumberFormat="1" applyFont="1" applyFill="1" applyBorder="1" applyAlignment="1">
      <alignment horizontal="center" vertical="center" wrapText="1"/>
    </xf>
    <xf numFmtId="0" fontId="4" fillId="3" borderId="59" xfId="7" applyFont="1" applyFill="1" applyBorder="1" applyAlignment="1" applyProtection="1">
      <alignment horizontal="center" vertical="center"/>
    </xf>
    <xf numFmtId="4" fontId="4" fillId="15" borderId="54" xfId="7" applyNumberFormat="1" applyFont="1" applyFill="1" applyBorder="1" applyAlignment="1" applyProtection="1">
      <alignment horizontal="center" vertical="center"/>
    </xf>
    <xf numFmtId="0" fontId="7" fillId="0" borderId="0" xfId="7" applyFont="1" applyFill="1" applyBorder="1" applyAlignment="1" applyProtection="1">
      <alignment horizontal="right"/>
    </xf>
    <xf numFmtId="0" fontId="89" fillId="10" borderId="1" xfId="0" applyFont="1" applyFill="1" applyBorder="1" applyAlignment="1">
      <alignment horizontal="center" vertical="center" wrapText="1"/>
    </xf>
    <xf numFmtId="0" fontId="89" fillId="10" borderId="1" xfId="0" applyFont="1" applyFill="1" applyBorder="1" applyAlignment="1">
      <alignment vertical="center" wrapText="1"/>
    </xf>
    <xf numFmtId="0" fontId="110" fillId="10" borderId="1" xfId="0" applyFont="1" applyFill="1" applyBorder="1" applyAlignment="1">
      <alignment horizontal="center"/>
    </xf>
    <xf numFmtId="0" fontId="110" fillId="10" borderId="1" xfId="0" applyFont="1" applyFill="1" applyBorder="1"/>
    <xf numFmtId="0" fontId="108" fillId="3" borderId="1" xfId="0" applyFont="1" applyFill="1" applyBorder="1" applyAlignment="1">
      <alignment horizontal="center" vertical="center" wrapText="1"/>
    </xf>
    <xf numFmtId="16" fontId="108" fillId="3" borderId="1" xfId="0" applyNumberFormat="1" applyFont="1" applyFill="1" applyBorder="1" applyAlignment="1">
      <alignment horizontal="center"/>
    </xf>
    <xf numFmtId="16" fontId="106" fillId="10" borderId="1" xfId="0" applyNumberFormat="1" applyFont="1" applyFill="1" applyBorder="1" applyAlignment="1">
      <alignment horizontal="center" vertical="center"/>
    </xf>
    <xf numFmtId="0" fontId="106" fillId="10" borderId="1" xfId="0" applyFont="1" applyFill="1" applyBorder="1" applyAlignment="1">
      <alignment horizontal="left" vertical="center" wrapText="1"/>
    </xf>
    <xf numFmtId="0" fontId="108" fillId="16" borderId="1" xfId="0" applyFont="1" applyFill="1" applyBorder="1" applyAlignment="1">
      <alignment horizontal="center"/>
    </xf>
    <xf numFmtId="16" fontId="91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108" fillId="8" borderId="1" xfId="0" applyFont="1" applyFill="1" applyBorder="1" applyAlignment="1">
      <alignment horizontal="center"/>
    </xf>
    <xf numFmtId="0" fontId="108" fillId="8" borderId="1" xfId="0" applyFont="1" applyFill="1" applyBorder="1"/>
    <xf numFmtId="0" fontId="106" fillId="3" borderId="1" xfId="0" applyFont="1" applyFill="1" applyBorder="1" applyAlignment="1">
      <alignment horizontal="left" vertical="center" wrapText="1"/>
    </xf>
    <xf numFmtId="0" fontId="108" fillId="26" borderId="1" xfId="0" applyFont="1" applyFill="1" applyBorder="1" applyAlignment="1">
      <alignment horizontal="center" wrapText="1"/>
    </xf>
    <xf numFmtId="0" fontId="91" fillId="27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0" fillId="20" borderId="0" xfId="0" applyFill="1"/>
    <xf numFmtId="0" fontId="0" fillId="17" borderId="0" xfId="0" applyFill="1"/>
    <xf numFmtId="0" fontId="0" fillId="25" borderId="0" xfId="0" applyFill="1"/>
    <xf numFmtId="0" fontId="0" fillId="28" borderId="0" xfId="0" applyFill="1"/>
    <xf numFmtId="4" fontId="4" fillId="3" borderId="0" xfId="7" applyNumberFormat="1" applyFont="1" applyFill="1" applyBorder="1" applyAlignment="1" applyProtection="1">
      <alignment horizontal="center" vertical="center" wrapText="1"/>
    </xf>
    <xf numFmtId="4" fontId="4" fillId="3" borderId="1" xfId="7" applyNumberFormat="1" applyFont="1" applyFill="1" applyBorder="1" applyAlignment="1" applyProtection="1">
      <alignment horizontal="center" vertical="center" wrapText="1"/>
    </xf>
    <xf numFmtId="4" fontId="4" fillId="3" borderId="12" xfId="7" applyNumberFormat="1" applyFont="1" applyFill="1" applyBorder="1" applyAlignment="1" applyProtection="1">
      <alignment horizontal="center" vertical="center" wrapText="1"/>
    </xf>
    <xf numFmtId="0" fontId="4" fillId="3" borderId="1" xfId="7" applyFont="1" applyFill="1" applyBorder="1" applyAlignment="1">
      <alignment horizontal="center" vertical="center"/>
    </xf>
    <xf numFmtId="0" fontId="4" fillId="3" borderId="49" xfId="7" applyFont="1" applyFill="1" applyBorder="1" applyAlignment="1">
      <alignment horizontal="center" vertical="center" wrapText="1"/>
    </xf>
    <xf numFmtId="4" fontId="104" fillId="5" borderId="2" xfId="0" applyNumberFormat="1" applyFont="1" applyFill="1" applyBorder="1" applyAlignment="1">
      <alignment horizontal="center"/>
    </xf>
    <xf numFmtId="4" fontId="104" fillId="0" borderId="1" xfId="0" applyNumberFormat="1" applyFont="1" applyFill="1" applyBorder="1" applyAlignment="1" applyProtection="1">
      <alignment horizontal="center"/>
      <protection locked="0"/>
    </xf>
    <xf numFmtId="4" fontId="104" fillId="3" borderId="1" xfId="0" applyNumberFormat="1" applyFont="1" applyFill="1" applyBorder="1" applyAlignment="1" applyProtection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4" fontId="104" fillId="5" borderId="2" xfId="0" applyNumberFormat="1" applyFont="1" applyFill="1" applyBorder="1" applyAlignment="1" applyProtection="1">
      <alignment horizontal="center"/>
    </xf>
    <xf numFmtId="4" fontId="104" fillId="5" borderId="1" xfId="0" applyNumberFormat="1" applyFont="1" applyFill="1" applyBorder="1" applyAlignment="1" applyProtection="1">
      <alignment horizontal="center"/>
    </xf>
    <xf numFmtId="4" fontId="104" fillId="5" borderId="1" xfId="0" applyNumberFormat="1" applyFont="1" applyFill="1" applyBorder="1" applyAlignment="1" applyProtection="1">
      <alignment horizontal="center" vertical="center" wrapText="1"/>
    </xf>
    <xf numFmtId="4" fontId="91" fillId="0" borderId="0" xfId="0" applyNumberFormat="1" applyFont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center"/>
      <protection locked="0"/>
    </xf>
    <xf numFmtId="4" fontId="116" fillId="0" borderId="0" xfId="0" applyNumberFormat="1" applyFont="1" applyBorder="1" applyProtection="1">
      <protection locked="0"/>
    </xf>
    <xf numFmtId="0" fontId="99" fillId="3" borderId="0" xfId="7" applyFont="1" applyFill="1" applyBorder="1" applyAlignment="1" applyProtection="1">
      <alignment vertical="center" wrapText="1"/>
      <protection locked="0"/>
    </xf>
    <xf numFmtId="0" fontId="91" fillId="0" borderId="12" xfId="0" applyFont="1" applyFill="1" applyBorder="1" applyAlignment="1">
      <alignment horizontal="center"/>
    </xf>
    <xf numFmtId="182" fontId="11" fillId="5" borderId="1" xfId="0" applyNumberFormat="1" applyFont="1" applyFill="1" applyBorder="1" applyProtection="1">
      <protection locked="0"/>
    </xf>
    <xf numFmtId="0" fontId="2" fillId="0" borderId="0" xfId="6" applyFill="1"/>
    <xf numFmtId="0" fontId="2" fillId="0" borderId="1" xfId="6" applyBorder="1"/>
    <xf numFmtId="4" fontId="4" fillId="3" borderId="1" xfId="7" applyNumberFormat="1" applyFont="1" applyFill="1" applyBorder="1" applyAlignment="1" applyProtection="1">
      <alignment horizontal="center" vertical="center" wrapText="1"/>
    </xf>
    <xf numFmtId="0" fontId="127" fillId="3" borderId="0" xfId="0" applyFont="1" applyFill="1" applyBorder="1" applyAlignment="1">
      <alignment horizontal="center" vertical="center" wrapText="1"/>
    </xf>
    <xf numFmtId="0" fontId="51" fillId="0" borderId="0" xfId="6" applyFont="1" applyAlignment="1">
      <alignment horizontal="center"/>
    </xf>
    <xf numFmtId="0" fontId="19" fillId="2" borderId="1" xfId="7" applyFont="1" applyFill="1" applyBorder="1" applyAlignment="1">
      <alignment horizontal="center" vertical="center" wrapText="1"/>
    </xf>
    <xf numFmtId="4" fontId="19" fillId="0" borderId="1" xfId="7" applyNumberFormat="1" applyFont="1" applyFill="1" applyBorder="1" applyAlignment="1" applyProtection="1">
      <alignment horizontal="center" vertical="center"/>
      <protection locked="0"/>
    </xf>
    <xf numFmtId="0" fontId="2" fillId="0" borderId="0" xfId="6" applyFont="1"/>
    <xf numFmtId="0" fontId="19" fillId="0" borderId="1" xfId="7" applyFont="1" applyFill="1" applyBorder="1" applyAlignment="1">
      <alignment horizontal="center" vertical="center"/>
    </xf>
    <xf numFmtId="4" fontId="4" fillId="3" borderId="0" xfId="7" applyNumberFormat="1" applyFont="1" applyFill="1" applyBorder="1" applyAlignment="1" applyProtection="1">
      <alignment horizontal="center" vertical="center" wrapText="1"/>
      <protection hidden="1"/>
    </xf>
    <xf numFmtId="49" fontId="19" fillId="2" borderId="2" xfId="7" applyNumberFormat="1" applyFont="1" applyFill="1" applyBorder="1" applyAlignment="1">
      <alignment horizontal="center" vertical="center"/>
    </xf>
    <xf numFmtId="16" fontId="19" fillId="2" borderId="5" xfId="7" applyNumberFormat="1" applyFont="1" applyFill="1" applyBorder="1" applyAlignment="1">
      <alignment horizontal="center" vertical="center"/>
    </xf>
    <xf numFmtId="0" fontId="2" fillId="0" borderId="0" xfId="6" applyAlignment="1">
      <alignment horizontal="center" vertical="center" wrapText="1"/>
    </xf>
    <xf numFmtId="0" fontId="2" fillId="0" borderId="1" xfId="6" applyBorder="1" applyAlignment="1">
      <alignment horizontal="center" vertical="center"/>
    </xf>
    <xf numFmtId="0" fontId="51" fillId="0" borderId="0" xfId="6" applyFont="1"/>
    <xf numFmtId="0" fontId="5" fillId="0" borderId="0" xfId="6" applyFont="1" applyAlignment="1">
      <alignment horizontal="center"/>
    </xf>
    <xf numFmtId="0" fontId="4" fillId="3" borderId="23" xfId="7" applyFont="1" applyFill="1" applyBorder="1" applyAlignment="1">
      <alignment horizontal="center" vertical="center" wrapText="1"/>
    </xf>
    <xf numFmtId="0" fontId="4" fillId="3" borderId="60" xfId="7" applyFont="1" applyFill="1" applyBorder="1" applyAlignment="1">
      <alignment horizontal="center" vertical="center"/>
    </xf>
    <xf numFmtId="16" fontId="19" fillId="2" borderId="1" xfId="7" applyNumberFormat="1" applyFont="1" applyFill="1" applyBorder="1" applyAlignment="1">
      <alignment horizontal="center" vertical="center" wrapText="1"/>
    </xf>
    <xf numFmtId="4" fontId="19" fillId="3" borderId="1" xfId="7" applyNumberFormat="1" applyFont="1" applyFill="1" applyBorder="1" applyAlignment="1" applyProtection="1">
      <alignment horizontal="center" vertical="center"/>
      <protection locked="0"/>
    </xf>
    <xf numFmtId="4" fontId="14" fillId="15" borderId="1" xfId="7" applyNumberFormat="1" applyFont="1" applyFill="1" applyBorder="1" applyAlignment="1">
      <alignment horizontal="center" vertical="center"/>
    </xf>
    <xf numFmtId="0" fontId="4" fillId="3" borderId="24" xfId="7" applyFont="1" applyFill="1" applyBorder="1" applyAlignment="1">
      <alignment horizontal="center" vertical="center" wrapText="1"/>
    </xf>
    <xf numFmtId="4" fontId="19" fillId="15" borderId="1" xfId="7" applyNumberFormat="1" applyFont="1" applyFill="1" applyBorder="1" applyAlignment="1" applyProtection="1">
      <alignment horizontal="center" vertical="center"/>
    </xf>
    <xf numFmtId="4" fontId="14" fillId="15" borderId="1" xfId="7" applyNumberFormat="1" applyFont="1" applyFill="1" applyBorder="1" applyAlignment="1" applyProtection="1">
      <alignment horizontal="center" vertical="center"/>
    </xf>
    <xf numFmtId="4" fontId="19" fillId="3" borderId="0" xfId="7" applyNumberFormat="1" applyFont="1" applyFill="1" applyBorder="1" applyAlignment="1" applyProtection="1">
      <alignment horizontal="center" vertical="center"/>
      <protection locked="0"/>
    </xf>
    <xf numFmtId="0" fontId="2" fillId="0" borderId="0" xfId="6" applyBorder="1"/>
    <xf numFmtId="0" fontId="24" fillId="2" borderId="8" xfId="7" applyFont="1" applyFill="1" applyBorder="1" applyAlignment="1">
      <alignment horizontal="center" vertical="center"/>
    </xf>
    <xf numFmtId="4" fontId="19" fillId="3" borderId="7" xfId="7" applyNumberFormat="1" applyFont="1" applyFill="1" applyBorder="1" applyAlignment="1" applyProtection="1">
      <alignment horizontal="center" vertical="center"/>
      <protection locked="0"/>
    </xf>
    <xf numFmtId="4" fontId="24" fillId="3" borderId="0" xfId="7" applyNumberFormat="1" applyFont="1" applyFill="1" applyBorder="1" applyAlignment="1">
      <alignment horizontal="center" vertical="center"/>
    </xf>
    <xf numFmtId="0" fontId="2" fillId="3" borderId="0" xfId="6" applyFill="1"/>
    <xf numFmtId="0" fontId="2" fillId="3" borderId="0" xfId="6" applyFill="1" applyBorder="1"/>
    <xf numFmtId="4" fontId="19" fillId="0" borderId="0" xfId="7" applyNumberFormat="1" applyFont="1" applyFill="1" applyBorder="1" applyAlignment="1" applyProtection="1">
      <alignment horizontal="center" vertical="center"/>
      <protection locked="0"/>
    </xf>
    <xf numFmtId="0" fontId="2" fillId="0" borderId="0" xfId="6" applyBorder="1" applyAlignment="1">
      <alignment horizontal="center" vertical="center" wrapText="1"/>
    </xf>
    <xf numFmtId="0" fontId="24" fillId="2" borderId="0" xfId="7" applyFont="1" applyFill="1" applyBorder="1" applyAlignment="1">
      <alignment horizontal="center" vertical="center"/>
    </xf>
    <xf numFmtId="0" fontId="19" fillId="2" borderId="0" xfId="7" applyFont="1" applyFill="1" applyBorder="1" applyAlignment="1">
      <alignment horizontal="left" vertical="center" wrapText="1"/>
    </xf>
    <xf numFmtId="4" fontId="14" fillId="3" borderId="0" xfId="7" applyNumberFormat="1" applyFont="1" applyFill="1" applyBorder="1" applyAlignment="1">
      <alignment horizontal="center" vertical="center"/>
    </xf>
    <xf numFmtId="0" fontId="2" fillId="3" borderId="0" xfId="6" applyFill="1" applyBorder="1" applyAlignment="1">
      <alignment horizontal="center"/>
    </xf>
    <xf numFmtId="4" fontId="14" fillId="15" borderId="6" xfId="7" applyNumberFormat="1" applyFont="1" applyFill="1" applyBorder="1" applyAlignment="1">
      <alignment horizontal="center" vertical="center"/>
    </xf>
    <xf numFmtId="0" fontId="2" fillId="0" borderId="1" xfId="6" applyBorder="1" applyAlignment="1">
      <alignment horizontal="center"/>
    </xf>
    <xf numFmtId="16" fontId="19" fillId="3" borderId="1" xfId="7" applyNumberFormat="1" applyFont="1" applyFill="1" applyBorder="1" applyAlignment="1">
      <alignment horizontal="left" wrapText="1" indent="2"/>
    </xf>
    <xf numFmtId="0" fontId="14" fillId="2" borderId="1" xfId="7" applyFont="1" applyFill="1" applyBorder="1" applyAlignment="1">
      <alignment wrapText="1"/>
    </xf>
    <xf numFmtId="0" fontId="68" fillId="0" borderId="0" xfId="6" applyFont="1" applyBorder="1"/>
    <xf numFmtId="0" fontId="51" fillId="0" borderId="1" xfId="6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4" fontId="10" fillId="3" borderId="0" xfId="7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89" fillId="6" borderId="14" xfId="0" applyNumberFormat="1" applyFont="1" applyFill="1" applyBorder="1" applyProtection="1"/>
    <xf numFmtId="4" fontId="95" fillId="3" borderId="0" xfId="0" applyNumberFormat="1" applyFont="1" applyFill="1" applyBorder="1" applyAlignment="1">
      <alignment horizontal="center"/>
    </xf>
    <xf numFmtId="4" fontId="89" fillId="6" borderId="1" xfId="0" quotePrefix="1" applyNumberFormat="1" applyFont="1" applyFill="1" applyBorder="1" applyAlignment="1">
      <alignment horizontal="right"/>
    </xf>
    <xf numFmtId="4" fontId="89" fillId="3" borderId="19" xfId="0" applyNumberFormat="1" applyFont="1" applyFill="1" applyBorder="1" applyProtection="1">
      <protection locked="0"/>
    </xf>
    <xf numFmtId="4" fontId="89" fillId="6" borderId="3" xfId="0" quotePrefix="1" applyNumberFormat="1" applyFont="1" applyFill="1" applyBorder="1" applyAlignment="1">
      <alignment horizontal="right"/>
    </xf>
    <xf numFmtId="1" fontId="2" fillId="0" borderId="1" xfId="6" applyNumberFormat="1" applyBorder="1" applyAlignment="1">
      <alignment horizontal="center" vertical="center"/>
    </xf>
    <xf numFmtId="183" fontId="4" fillId="0" borderId="1" xfId="7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Border="1" applyAlignment="1" applyProtection="1">
      <alignment vertical="center"/>
      <protection locked="0"/>
    </xf>
    <xf numFmtId="0" fontId="23" fillId="3" borderId="0" xfId="7" applyFont="1" applyFill="1" applyBorder="1" applyAlignment="1" applyProtection="1">
      <alignment horizontal="left" vertical="top"/>
      <protection locked="0"/>
    </xf>
    <xf numFmtId="182" fontId="11" fillId="5" borderId="5" xfId="0" applyNumberFormat="1" applyFont="1" applyFill="1" applyBorder="1" applyProtection="1">
      <protection locked="0"/>
    </xf>
    <xf numFmtId="49" fontId="14" fillId="2" borderId="0" xfId="7" applyNumberFormat="1" applyFont="1" applyFill="1" applyBorder="1" applyAlignment="1">
      <alignment horizontal="left" vertical="center"/>
    </xf>
    <xf numFmtId="0" fontId="87" fillId="0" borderId="1" xfId="0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53" fillId="0" borderId="1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/>
    </xf>
    <xf numFmtId="0" fontId="13" fillId="0" borderId="1" xfId="6" applyFont="1" applyBorder="1" applyAlignment="1">
      <alignment horizontal="center"/>
    </xf>
    <xf numFmtId="180" fontId="19" fillId="3" borderId="1" xfId="7" applyNumberFormat="1" applyFont="1" applyFill="1" applyBorder="1" applyAlignment="1" applyProtection="1">
      <alignment horizontal="center" vertical="center"/>
      <protection locked="0"/>
    </xf>
    <xf numFmtId="180" fontId="19" fillId="15" borderId="1" xfId="7" applyNumberFormat="1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>
      <alignment horizontal="center" vertical="center" wrapText="1"/>
    </xf>
    <xf numFmtId="4" fontId="19" fillId="3" borderId="1" xfId="7" applyNumberFormat="1" applyFont="1" applyFill="1" applyBorder="1" applyAlignment="1" applyProtection="1">
      <alignment horizontal="center" vertical="center" wrapText="1"/>
    </xf>
    <xf numFmtId="4" fontId="103" fillId="3" borderId="41" xfId="0" applyNumberFormat="1" applyFont="1" applyFill="1" applyBorder="1" applyAlignment="1" applyProtection="1">
      <alignment horizontal="right"/>
      <protection locked="0"/>
    </xf>
    <xf numFmtId="4" fontId="103" fillId="3" borderId="51" xfId="0" applyNumberFormat="1" applyFont="1" applyFill="1" applyBorder="1" applyAlignment="1" applyProtection="1">
      <protection locked="0"/>
    </xf>
    <xf numFmtId="4" fontId="92" fillId="3" borderId="0" xfId="0" applyNumberFormat="1" applyFont="1" applyFill="1" applyBorder="1" applyAlignment="1" applyProtection="1">
      <alignment horizontal="right"/>
      <protection locked="0"/>
    </xf>
    <xf numFmtId="4" fontId="104" fillId="0" borderId="9" xfId="0" applyNumberFormat="1" applyFont="1" applyFill="1" applyBorder="1" applyAlignment="1" applyProtection="1">
      <alignment horizontal="center"/>
      <protection locked="0"/>
    </xf>
    <xf numFmtId="4" fontId="104" fillId="3" borderId="1" xfId="0" applyNumberFormat="1" applyFont="1" applyFill="1" applyBorder="1" applyAlignment="1">
      <alignment horizontal="center" vertical="center" wrapText="1"/>
    </xf>
    <xf numFmtId="4" fontId="104" fillId="3" borderId="2" xfId="0" applyNumberFormat="1" applyFont="1" applyFill="1" applyBorder="1" applyAlignment="1">
      <alignment horizontal="center" vertical="center" wrapText="1"/>
    </xf>
    <xf numFmtId="4" fontId="104" fillId="5" borderId="6" xfId="0" applyNumberFormat="1" applyFont="1" applyFill="1" applyBorder="1" applyAlignment="1">
      <alignment horizontal="right"/>
    </xf>
    <xf numFmtId="4" fontId="8" fillId="3" borderId="0" xfId="7" applyNumberFormat="1" applyFont="1" applyFill="1" applyBorder="1" applyAlignment="1" applyProtection="1">
      <alignment horizontal="center" vertical="center"/>
    </xf>
    <xf numFmtId="0" fontId="18" fillId="0" borderId="0" xfId="7" applyFont="1" applyFill="1" applyBorder="1" applyAlignment="1">
      <alignment vertical="center"/>
    </xf>
    <xf numFmtId="4" fontId="104" fillId="5" borderId="61" xfId="0" applyNumberFormat="1" applyFont="1" applyFill="1" applyBorder="1" applyAlignment="1">
      <alignment vertical="center"/>
    </xf>
    <xf numFmtId="4" fontId="104" fillId="5" borderId="62" xfId="0" applyNumberFormat="1" applyFont="1" applyFill="1" applyBorder="1" applyAlignment="1">
      <alignment vertical="center"/>
    </xf>
    <xf numFmtId="4" fontId="104" fillId="5" borderId="1" xfId="0" applyNumberFormat="1" applyFont="1" applyFill="1" applyBorder="1" applyAlignment="1">
      <alignment vertical="center"/>
    </xf>
    <xf numFmtId="4" fontId="20" fillId="15" borderId="1" xfId="6" applyNumberFormat="1" applyFont="1" applyFill="1" applyBorder="1" applyAlignment="1">
      <alignment horizontal="center" vertical="center" wrapText="1"/>
    </xf>
    <xf numFmtId="0" fontId="104" fillId="3" borderId="11" xfId="0" applyFont="1" applyFill="1" applyBorder="1" applyAlignment="1">
      <alignment horizontal="center"/>
    </xf>
    <xf numFmtId="4" fontId="104" fillId="5" borderId="63" xfId="0" applyNumberFormat="1" applyFont="1" applyFill="1" applyBorder="1" applyAlignment="1">
      <alignment vertical="center"/>
    </xf>
    <xf numFmtId="4" fontId="104" fillId="5" borderId="64" xfId="0" applyNumberFormat="1" applyFont="1" applyFill="1" applyBorder="1" applyAlignment="1">
      <alignment vertical="center"/>
    </xf>
    <xf numFmtId="4" fontId="102" fillId="15" borderId="5" xfId="0" applyNumberFormat="1" applyFont="1" applyFill="1" applyBorder="1" applyAlignment="1" applyProtection="1">
      <alignment horizontal="center" vertical="center" wrapText="1"/>
    </xf>
    <xf numFmtId="4" fontId="104" fillId="5" borderId="5" xfId="0" applyNumberFormat="1" applyFont="1" applyFill="1" applyBorder="1" applyAlignment="1">
      <alignment vertical="center"/>
    </xf>
    <xf numFmtId="4" fontId="104" fillId="15" borderId="12" xfId="0" applyNumberFormat="1" applyFont="1" applyFill="1" applyBorder="1" applyAlignment="1" applyProtection="1">
      <alignment horizontal="center" vertical="center" wrapText="1"/>
    </xf>
    <xf numFmtId="0" fontId="19" fillId="0" borderId="42" xfId="7" applyFont="1" applyFill="1" applyBorder="1" applyAlignment="1">
      <alignment horizontal="center" vertical="center"/>
    </xf>
    <xf numFmtId="4" fontId="19" fillId="0" borderId="42" xfId="7" applyNumberFormat="1" applyFont="1" applyFill="1" applyBorder="1" applyAlignment="1" applyProtection="1">
      <alignment horizontal="center" vertical="center"/>
      <protection locked="0"/>
    </xf>
    <xf numFmtId="0" fontId="127" fillId="3" borderId="0" xfId="0" applyFont="1" applyFill="1" applyBorder="1" applyAlignment="1">
      <alignment horizontal="center" vertical="center" wrapText="1"/>
    </xf>
    <xf numFmtId="0" fontId="19" fillId="2" borderId="42" xfId="7" applyFont="1" applyFill="1" applyBorder="1" applyAlignment="1">
      <alignment horizontal="center" vertical="center" wrapText="1"/>
    </xf>
    <xf numFmtId="0" fontId="19" fillId="2" borderId="3" xfId="7" applyFont="1" applyFill="1" applyBorder="1" applyAlignment="1">
      <alignment horizontal="center" vertical="center" wrapText="1"/>
    </xf>
    <xf numFmtId="0" fontId="19" fillId="2" borderId="4" xfId="7" applyFont="1" applyFill="1" applyBorder="1" applyAlignment="1">
      <alignment horizontal="center" vertical="center" wrapText="1"/>
    </xf>
    <xf numFmtId="4" fontId="19" fillId="3" borderId="6" xfId="7" applyNumberFormat="1" applyFont="1" applyFill="1" applyBorder="1" applyAlignment="1" applyProtection="1">
      <alignment horizontal="center" vertical="center"/>
      <protection locked="0"/>
    </xf>
    <xf numFmtId="0" fontId="2" fillId="0" borderId="0" xfId="6" applyAlignment="1">
      <alignment horizontal="center" vertical="center" wrapText="1" shrinkToFit="1"/>
    </xf>
    <xf numFmtId="4" fontId="2" fillId="0" borderId="0" xfId="6" applyNumberFormat="1"/>
    <xf numFmtId="0" fontId="11" fillId="0" borderId="0" xfId="6" applyFont="1"/>
    <xf numFmtId="0" fontId="11" fillId="0" borderId="1" xfId="6" applyFont="1" applyBorder="1" applyAlignment="1" applyProtection="1">
      <alignment horizontal="center" vertical="center"/>
      <protection locked="0"/>
    </xf>
    <xf numFmtId="4" fontId="104" fillId="5" borderId="9" xfId="0" applyNumberFormat="1" applyFont="1" applyFill="1" applyBorder="1" applyAlignment="1">
      <alignment horizontal="center"/>
    </xf>
    <xf numFmtId="4" fontId="104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104" fillId="5" borderId="1" xfId="0" applyNumberFormat="1" applyFont="1" applyFill="1" applyBorder="1" applyAlignment="1">
      <alignment horizontal="center"/>
    </xf>
    <xf numFmtId="0" fontId="11" fillId="0" borderId="1" xfId="6" applyFont="1" applyBorder="1"/>
    <xf numFmtId="4" fontId="14" fillId="15" borderId="42" xfId="7" applyNumberFormat="1" applyFont="1" applyFill="1" applyBorder="1" applyAlignment="1" applyProtection="1">
      <alignment horizontal="center" vertical="center"/>
    </xf>
    <xf numFmtId="4" fontId="19" fillId="3" borderId="42" xfId="7" applyNumberFormat="1" applyFont="1" applyFill="1" applyBorder="1" applyAlignment="1" applyProtection="1">
      <alignment horizontal="center" vertical="center"/>
      <protection locked="0"/>
    </xf>
    <xf numFmtId="49" fontId="14" fillId="2" borderId="14" xfId="7" applyNumberFormat="1" applyFont="1" applyFill="1" applyBorder="1" applyAlignment="1">
      <alignment vertical="center"/>
    </xf>
    <xf numFmtId="0" fontId="25" fillId="0" borderId="2" xfId="7" applyFont="1" applyFill="1" applyBorder="1" applyAlignment="1">
      <alignment horizontal="center" vertical="center"/>
    </xf>
    <xf numFmtId="4" fontId="14" fillId="15" borderId="5" xfId="7" applyNumberFormat="1" applyFont="1" applyFill="1" applyBorder="1" applyAlignment="1" applyProtection="1">
      <alignment horizontal="center" vertical="center"/>
    </xf>
    <xf numFmtId="0" fontId="25" fillId="0" borderId="2" xfId="7" applyFont="1" applyFill="1" applyBorder="1" applyAlignment="1">
      <alignment horizontal="left" vertical="center"/>
    </xf>
    <xf numFmtId="0" fontId="14" fillId="0" borderId="2" xfId="7" applyFont="1" applyFill="1" applyBorder="1" applyAlignment="1">
      <alignment horizontal="left" vertical="center"/>
    </xf>
    <xf numFmtId="4" fontId="19" fillId="3" borderId="5" xfId="7" applyNumberFormat="1" applyFont="1" applyFill="1" applyBorder="1" applyAlignment="1" applyProtection="1">
      <alignment horizontal="center" vertical="center"/>
      <protection locked="0"/>
    </xf>
    <xf numFmtId="0" fontId="14" fillId="2" borderId="2" xfId="7" applyFont="1" applyFill="1" applyBorder="1" applyAlignment="1">
      <alignment horizontal="left" vertical="center"/>
    </xf>
    <xf numFmtId="0" fontId="25" fillId="0" borderId="8" xfId="7" applyFont="1" applyFill="1" applyBorder="1" applyAlignment="1">
      <alignment horizontal="left" vertical="center"/>
    </xf>
    <xf numFmtId="4" fontId="19" fillId="15" borderId="6" xfId="7" applyNumberFormat="1" applyFont="1" applyFill="1" applyBorder="1" applyAlignment="1" applyProtection="1">
      <alignment horizontal="center" vertical="center"/>
    </xf>
    <xf numFmtId="4" fontId="104" fillId="15" borderId="1" xfId="0" applyNumberFormat="1" applyFont="1" applyFill="1" applyBorder="1" applyAlignment="1" applyProtection="1">
      <alignment horizontal="center" vertical="center" wrapText="1"/>
    </xf>
    <xf numFmtId="180" fontId="104" fillId="5" borderId="1" xfId="0" applyNumberFormat="1" applyFont="1" applyFill="1" applyBorder="1" applyAlignment="1" applyProtection="1">
      <alignment horizontal="right"/>
    </xf>
    <xf numFmtId="180" fontId="104" fillId="5" borderId="5" xfId="0" applyNumberFormat="1" applyFont="1" applyFill="1" applyBorder="1" applyAlignment="1" applyProtection="1">
      <alignment horizontal="right"/>
    </xf>
    <xf numFmtId="180" fontId="104" fillId="5" borderId="42" xfId="0" applyNumberFormat="1" applyFont="1" applyFill="1" applyBorder="1" applyAlignment="1" applyProtection="1">
      <alignment horizontal="right"/>
    </xf>
    <xf numFmtId="180" fontId="103" fillId="5" borderId="6" xfId="0" applyNumberFormat="1" applyFont="1" applyFill="1" applyBorder="1" applyProtection="1"/>
    <xf numFmtId="180" fontId="103" fillId="5" borderId="7" xfId="0" applyNumberFormat="1" applyFont="1" applyFill="1" applyBorder="1" applyProtection="1"/>
    <xf numFmtId="180" fontId="103" fillId="5" borderId="43" xfId="0" applyNumberFormat="1" applyFont="1" applyFill="1" applyBorder="1" applyProtection="1"/>
    <xf numFmtId="4" fontId="102" fillId="3" borderId="19" xfId="0" applyNumberFormat="1" applyFont="1" applyFill="1" applyBorder="1" applyAlignment="1" applyProtection="1">
      <alignment vertical="center"/>
    </xf>
    <xf numFmtId="184" fontId="104" fillId="5" borderId="1" xfId="0" applyNumberFormat="1" applyFont="1" applyFill="1" applyBorder="1" applyAlignment="1" applyProtection="1"/>
    <xf numFmtId="0" fontId="91" fillId="0" borderId="1" xfId="0" applyFont="1" applyBorder="1" applyAlignment="1" applyProtection="1">
      <alignment horizontal="center" vertical="center" wrapText="1"/>
    </xf>
    <xf numFmtId="0" fontId="127" fillId="3" borderId="0" xfId="0" applyFont="1" applyFill="1" applyBorder="1" applyAlignment="1">
      <alignment horizontal="center" vertical="center" wrapText="1"/>
    </xf>
    <xf numFmtId="4" fontId="128" fillId="3" borderId="6" xfId="7" applyNumberFormat="1" applyFont="1" applyFill="1" applyBorder="1" applyAlignment="1" applyProtection="1">
      <alignment horizontal="center" vertical="center"/>
      <protection locked="0"/>
    </xf>
    <xf numFmtId="4" fontId="128" fillId="3" borderId="7" xfId="7" applyNumberFormat="1" applyFont="1" applyFill="1" applyBorder="1" applyAlignment="1" applyProtection="1">
      <alignment horizontal="center" vertical="center"/>
      <protection locked="0"/>
    </xf>
    <xf numFmtId="4" fontId="4" fillId="0" borderId="12" xfId="7" applyNumberFormat="1" applyFont="1" applyFill="1" applyBorder="1" applyAlignment="1" applyProtection="1">
      <alignment horizontal="center" vertical="center"/>
      <protection locked="0"/>
    </xf>
    <xf numFmtId="4" fontId="20" fillId="0" borderId="8" xfId="0" applyNumberFormat="1" applyFont="1" applyFill="1" applyBorder="1" applyAlignment="1" applyProtection="1">
      <alignment horizontal="right"/>
      <protection locked="0"/>
    </xf>
    <xf numFmtId="4" fontId="10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center" vertical="center"/>
      <protection locked="0"/>
    </xf>
    <xf numFmtId="180" fontId="86" fillId="0" borderId="0" xfId="0" applyNumberFormat="1" applyFont="1" applyAlignment="1" applyProtection="1">
      <alignment wrapText="1"/>
    </xf>
    <xf numFmtId="180" fontId="91" fillId="0" borderId="0" xfId="0" applyNumberFormat="1" applyFont="1" applyAlignment="1" applyProtection="1">
      <alignment wrapText="1"/>
    </xf>
    <xf numFmtId="0" fontId="91" fillId="0" borderId="9" xfId="0" applyFont="1" applyBorder="1" applyAlignment="1" applyProtection="1">
      <alignment horizontal="center" vertical="center" wrapText="1"/>
    </xf>
    <xf numFmtId="180" fontId="91" fillId="0" borderId="9" xfId="0" applyNumberFormat="1" applyFont="1" applyBorder="1" applyAlignment="1" applyProtection="1">
      <alignment horizontal="center" vertical="center" wrapText="1"/>
    </xf>
    <xf numFmtId="0" fontId="91" fillId="0" borderId="2" xfId="0" applyFont="1" applyBorder="1" applyAlignment="1" applyProtection="1">
      <alignment horizontal="center" vertical="center" wrapText="1"/>
    </xf>
    <xf numFmtId="0" fontId="91" fillId="0" borderId="5" xfId="0" applyFont="1" applyBorder="1" applyAlignment="1" applyProtection="1">
      <alignment horizontal="center" vertical="center" wrapText="1"/>
    </xf>
    <xf numFmtId="180" fontId="91" fillId="0" borderId="8" xfId="0" applyNumberFormat="1" applyFont="1" applyBorder="1" applyAlignment="1" applyProtection="1">
      <alignment horizontal="center" vertical="center" wrapText="1"/>
    </xf>
    <xf numFmtId="180" fontId="91" fillId="0" borderId="6" xfId="0" applyNumberFormat="1" applyFont="1" applyBorder="1" applyAlignment="1" applyProtection="1">
      <alignment horizontal="center" vertical="center" wrapText="1"/>
    </xf>
    <xf numFmtId="180" fontId="91" fillId="0" borderId="7" xfId="0" applyNumberFormat="1" applyFont="1" applyBorder="1" applyAlignment="1" applyProtection="1">
      <alignment horizontal="center" vertical="center" wrapText="1"/>
    </xf>
    <xf numFmtId="0" fontId="91" fillId="29" borderId="1" xfId="0" applyFont="1" applyFill="1" applyBorder="1" applyAlignment="1">
      <alignment wrapText="1"/>
    </xf>
    <xf numFmtId="0" fontId="14" fillId="3" borderId="5" xfId="7" applyFont="1" applyFill="1" applyBorder="1" applyAlignment="1">
      <alignment horizontal="center" vertical="center" wrapText="1"/>
    </xf>
    <xf numFmtId="4" fontId="104" fillId="3" borderId="42" xfId="0" applyNumberFormat="1" applyFont="1" applyFill="1" applyBorder="1" applyAlignment="1" applyProtection="1">
      <alignment horizontal="center" vertical="center" wrapText="1"/>
    </xf>
    <xf numFmtId="4" fontId="104" fillId="3" borderId="1" xfId="0" applyNumberFormat="1" applyFont="1" applyFill="1" applyBorder="1" applyAlignment="1" applyProtection="1">
      <alignment horizontal="center" vertical="center" wrapText="1"/>
    </xf>
    <xf numFmtId="4" fontId="104" fillId="3" borderId="5" xfId="0" applyNumberFormat="1" applyFont="1" applyFill="1" applyBorder="1" applyAlignment="1" applyProtection="1">
      <alignment horizontal="center" vertical="center" wrapText="1"/>
    </xf>
    <xf numFmtId="180" fontId="103" fillId="5" borderId="6" xfId="0" applyNumberFormat="1" applyFont="1" applyFill="1" applyBorder="1" applyAlignment="1" applyProtection="1">
      <alignment horizontal="center"/>
    </xf>
    <xf numFmtId="4" fontId="104" fillId="5" borderId="1" xfId="0" applyNumberFormat="1" applyFont="1" applyFill="1" applyBorder="1" applyAlignment="1" applyProtection="1">
      <alignment horizontal="center" vertical="center"/>
    </xf>
    <xf numFmtId="180" fontId="103" fillId="5" borderId="1" xfId="0" applyNumberFormat="1" applyFont="1" applyFill="1" applyBorder="1" applyAlignment="1" applyProtection="1">
      <alignment horizontal="center"/>
    </xf>
    <xf numFmtId="4" fontId="104" fillId="3" borderId="2" xfId="0" applyNumberFormat="1" applyFont="1" applyFill="1" applyBorder="1" applyAlignment="1" applyProtection="1">
      <alignment horizontal="center" vertical="center"/>
    </xf>
    <xf numFmtId="4" fontId="104" fillId="5" borderId="3" xfId="0" applyNumberFormat="1" applyFont="1" applyFill="1" applyBorder="1" applyAlignment="1" applyProtection="1">
      <alignment horizontal="center"/>
    </xf>
    <xf numFmtId="4" fontId="104" fillId="5" borderId="3" xfId="0" applyNumberFormat="1" applyFont="1" applyFill="1" applyBorder="1" applyAlignment="1">
      <alignment horizontal="center"/>
    </xf>
    <xf numFmtId="0" fontId="4" fillId="29" borderId="1" xfId="0" applyFont="1" applyFill="1" applyBorder="1"/>
    <xf numFmtId="4" fontId="8" fillId="15" borderId="10" xfId="7" applyNumberFormat="1" applyFont="1" applyFill="1" applyBorder="1" applyAlignment="1">
      <alignment horizontal="center" vertical="center"/>
    </xf>
    <xf numFmtId="4" fontId="8" fillId="15" borderId="5" xfId="7" applyNumberFormat="1" applyFont="1" applyFill="1" applyBorder="1" applyAlignment="1">
      <alignment horizontal="center" vertical="center"/>
    </xf>
    <xf numFmtId="4" fontId="8" fillId="3" borderId="1" xfId="7" applyNumberFormat="1" applyFont="1" applyFill="1" applyBorder="1" applyAlignment="1" applyProtection="1">
      <alignment horizontal="center" vertical="center"/>
      <protection locked="0"/>
    </xf>
    <xf numFmtId="4" fontId="8" fillId="2" borderId="5" xfId="7" applyNumberFormat="1" applyFont="1" applyFill="1" applyBorder="1" applyAlignment="1" applyProtection="1">
      <alignment horizontal="center" vertical="center"/>
      <protection locked="0"/>
    </xf>
    <xf numFmtId="4" fontId="4" fillId="3" borderId="6" xfId="7" applyNumberFormat="1" applyFont="1" applyFill="1" applyBorder="1" applyAlignment="1" applyProtection="1">
      <alignment horizontal="center" vertical="center"/>
      <protection locked="0"/>
    </xf>
    <xf numFmtId="4" fontId="91" fillId="6" borderId="9" xfId="0" quotePrefix="1" applyNumberFormat="1" applyFont="1" applyFill="1" applyBorder="1" applyAlignment="1" applyProtection="1">
      <alignment horizontal="center"/>
    </xf>
    <xf numFmtId="4" fontId="89" fillId="6" borderId="9" xfId="0" applyNumberFormat="1" applyFont="1" applyFill="1" applyBorder="1" applyProtection="1"/>
    <xf numFmtId="4" fontId="89" fillId="6" borderId="52" xfId="0" applyNumberFormat="1" applyFont="1" applyFill="1" applyBorder="1" applyAlignment="1" applyProtection="1">
      <alignment horizontal="center"/>
    </xf>
    <xf numFmtId="4" fontId="91" fillId="6" borderId="46" xfId="0" quotePrefix="1" applyNumberFormat="1" applyFont="1" applyFill="1" applyBorder="1" applyAlignment="1" applyProtection="1">
      <alignment horizontal="right"/>
    </xf>
    <xf numFmtId="4" fontId="91" fillId="6" borderId="25" xfId="0" quotePrefix="1" applyNumberFormat="1" applyFont="1" applyFill="1" applyBorder="1" applyAlignment="1" applyProtection="1">
      <alignment horizontal="right"/>
    </xf>
    <xf numFmtId="4" fontId="91" fillId="6" borderId="9" xfId="0" applyNumberFormat="1" applyFont="1" applyFill="1" applyBorder="1" applyProtection="1"/>
    <xf numFmtId="4" fontId="91" fillId="6" borderId="49" xfId="0" applyNumberFormat="1" applyFont="1" applyFill="1" applyBorder="1" applyProtection="1"/>
    <xf numFmtId="4" fontId="91" fillId="6" borderId="38" xfId="0" applyNumberFormat="1" applyFont="1" applyFill="1" applyBorder="1" applyProtection="1"/>
    <xf numFmtId="4" fontId="89" fillId="6" borderId="9" xfId="0" applyNumberFormat="1" applyFont="1" applyFill="1" applyBorder="1" applyAlignment="1" applyProtection="1">
      <alignment horizontal="center"/>
    </xf>
    <xf numFmtId="4" fontId="91" fillId="6" borderId="22" xfId="0" applyNumberFormat="1" applyFont="1" applyFill="1" applyBorder="1" applyProtection="1"/>
    <xf numFmtId="4" fontId="89" fillId="6" borderId="38" xfId="0" applyNumberFormat="1" applyFont="1" applyFill="1" applyBorder="1" applyAlignment="1" applyProtection="1">
      <alignment horizontal="center"/>
    </xf>
    <xf numFmtId="4" fontId="89" fillId="6" borderId="22" xfId="0" applyNumberFormat="1" applyFont="1" applyFill="1" applyBorder="1" applyAlignment="1" applyProtection="1">
      <alignment horizontal="center"/>
    </xf>
    <xf numFmtId="4" fontId="89" fillId="6" borderId="25" xfId="0" applyNumberFormat="1" applyFont="1" applyFill="1" applyBorder="1" applyAlignment="1" applyProtection="1">
      <alignment horizontal="center"/>
    </xf>
    <xf numFmtId="4" fontId="89" fillId="6" borderId="49" xfId="0" applyNumberFormat="1" applyFont="1" applyFill="1" applyBorder="1" applyAlignment="1" applyProtection="1">
      <alignment horizontal="center"/>
    </xf>
    <xf numFmtId="4" fontId="91" fillId="0" borderId="43" xfId="0" applyNumberFormat="1" applyFont="1" applyBorder="1" applyProtection="1"/>
    <xf numFmtId="4" fontId="89" fillId="6" borderId="23" xfId="0" applyNumberFormat="1" applyFont="1" applyFill="1" applyBorder="1"/>
    <xf numFmtId="4" fontId="89" fillId="6" borderId="20" xfId="0" applyNumberFormat="1" applyFont="1" applyFill="1" applyBorder="1"/>
    <xf numFmtId="4" fontId="89" fillId="6" borderId="2" xfId="0" applyNumberFormat="1" applyFont="1" applyFill="1" applyBorder="1" applyAlignment="1">
      <alignment horizontal="center"/>
    </xf>
    <xf numFmtId="4" fontId="104" fillId="5" borderId="36" xfId="0" applyNumberFormat="1" applyFont="1" applyFill="1" applyBorder="1" applyAlignment="1">
      <alignment horizontal="right"/>
    </xf>
    <xf numFmtId="4" fontId="104" fillId="3" borderId="19" xfId="0" applyNumberFormat="1" applyFont="1" applyFill="1" applyBorder="1" applyAlignment="1" applyProtection="1">
      <alignment horizontal="right"/>
      <protection locked="0"/>
    </xf>
    <xf numFmtId="4" fontId="104" fillId="5" borderId="1" xfId="0" applyNumberFormat="1" applyFont="1" applyFill="1" applyBorder="1" applyAlignment="1" applyProtection="1"/>
    <xf numFmtId="4" fontId="4" fillId="3" borderId="1" xfId="7" applyNumberFormat="1" applyFont="1" applyFill="1" applyBorder="1" applyAlignment="1" applyProtection="1">
      <alignment horizontal="center" vertical="center" wrapText="1"/>
    </xf>
    <xf numFmtId="4" fontId="91" fillId="3" borderId="1" xfId="0" applyNumberFormat="1" applyFont="1" applyFill="1" applyBorder="1" applyAlignment="1" applyProtection="1">
      <alignment horizontal="center" vertical="center" wrapText="1"/>
    </xf>
    <xf numFmtId="180" fontId="47" fillId="3" borderId="1" xfId="7" applyNumberFormat="1" applyFont="1" applyFill="1" applyBorder="1" applyAlignment="1" applyProtection="1">
      <alignment horizontal="center" vertical="center"/>
    </xf>
    <xf numFmtId="0" fontId="47" fillId="3" borderId="9" xfId="7" applyFont="1" applyFill="1" applyBorder="1" applyAlignment="1" applyProtection="1">
      <alignment horizontal="left" vertical="center" indent="3"/>
    </xf>
    <xf numFmtId="0" fontId="47" fillId="3" borderId="52" xfId="7" applyFont="1" applyFill="1" applyBorder="1" applyAlignment="1" applyProtection="1">
      <alignment horizontal="left" vertical="center" indent="3"/>
    </xf>
    <xf numFmtId="0" fontId="47" fillId="3" borderId="42" xfId="7" applyFont="1" applyFill="1" applyBorder="1" applyAlignment="1" applyProtection="1">
      <alignment horizontal="left" vertical="center" indent="3"/>
    </xf>
    <xf numFmtId="0" fontId="2" fillId="0" borderId="0" xfId="6" applyProtection="1">
      <protection locked="0"/>
    </xf>
    <xf numFmtId="0" fontId="2" fillId="3" borderId="0" xfId="6" applyFill="1" applyProtection="1">
      <protection locked="0"/>
    </xf>
    <xf numFmtId="0" fontId="2" fillId="3" borderId="0" xfId="6" applyFill="1" applyBorder="1" applyProtection="1">
      <protection locked="0"/>
    </xf>
    <xf numFmtId="0" fontId="2" fillId="0" borderId="0" xfId="6" applyBorder="1" applyProtection="1">
      <protection locked="0"/>
    </xf>
    <xf numFmtId="0" fontId="2" fillId="0" borderId="0" xfId="6" applyAlignment="1" applyProtection="1">
      <alignment horizontal="center" vertical="center" wrapText="1"/>
      <protection locked="0"/>
    </xf>
    <xf numFmtId="0" fontId="19" fillId="3" borderId="0" xfId="7" applyFont="1" applyFill="1" applyBorder="1" applyAlignment="1" applyProtection="1">
      <alignment horizontal="center" vertical="center" wrapText="1"/>
      <protection locked="0"/>
    </xf>
    <xf numFmtId="0" fontId="19" fillId="3" borderId="0" xfId="7" applyFont="1" applyFill="1" applyBorder="1" applyAlignment="1" applyProtection="1">
      <alignment horizontal="center" vertical="center"/>
      <protection locked="0"/>
    </xf>
    <xf numFmtId="4" fontId="24" fillId="3" borderId="0" xfId="7" applyNumberFormat="1" applyFont="1" applyFill="1" applyBorder="1" applyAlignment="1" applyProtection="1">
      <alignment horizontal="center" vertical="center"/>
      <protection locked="0"/>
    </xf>
    <xf numFmtId="0" fontId="2" fillId="0" borderId="0" xfId="6" applyAlignment="1">
      <alignment horizontal="right" indent="2"/>
    </xf>
    <xf numFmtId="0" fontId="2" fillId="0" borderId="0" xfId="6" applyAlignment="1">
      <alignment horizontal="right"/>
    </xf>
    <xf numFmtId="4" fontId="20" fillId="3" borderId="3" xfId="0" applyNumberFormat="1" applyFont="1" applyFill="1" applyBorder="1" applyAlignment="1" applyProtection="1">
      <alignment horizontal="right"/>
      <protection locked="0"/>
    </xf>
    <xf numFmtId="4" fontId="91" fillId="6" borderId="4" xfId="0" applyNumberFormat="1" applyFont="1" applyFill="1" applyBorder="1" applyProtection="1"/>
    <xf numFmtId="4" fontId="91" fillId="6" borderId="5" xfId="0" applyNumberFormat="1" applyFont="1" applyFill="1" applyBorder="1" applyProtection="1"/>
    <xf numFmtId="4" fontId="89" fillId="6" borderId="57" xfId="0" applyNumberFormat="1" applyFont="1" applyFill="1" applyBorder="1" applyAlignment="1" applyProtection="1">
      <alignment horizontal="center"/>
    </xf>
    <xf numFmtId="4" fontId="91" fillId="6" borderId="7" xfId="0" applyNumberFormat="1" applyFont="1" applyFill="1" applyBorder="1" applyProtection="1"/>
    <xf numFmtId="0" fontId="8" fillId="3" borderId="1" xfId="7" applyFont="1" applyFill="1" applyBorder="1" applyAlignment="1">
      <alignment horizontal="left" vertical="center" wrapText="1"/>
    </xf>
    <xf numFmtId="16" fontId="4" fillId="3" borderId="1" xfId="7" applyNumberFormat="1" applyFont="1" applyFill="1" applyBorder="1" applyAlignment="1">
      <alignment horizontal="left" wrapText="1" indent="2"/>
    </xf>
    <xf numFmtId="1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" fontId="10" fillId="5" borderId="1" xfId="7" applyNumberFormat="1" applyFont="1" applyFill="1" applyBorder="1" applyAlignment="1" applyProtection="1">
      <alignment horizontal="center" vertical="center"/>
      <protection locked="0"/>
    </xf>
    <xf numFmtId="16" fontId="14" fillId="5" borderId="1" xfId="7" applyNumberFormat="1" applyFont="1" applyFill="1" applyBorder="1" applyAlignment="1">
      <alignment horizontal="left" vertical="center"/>
    </xf>
    <xf numFmtId="4" fontId="4" fillId="5" borderId="1" xfId="7" applyNumberFormat="1" applyFont="1" applyFill="1" applyBorder="1" applyAlignment="1">
      <alignment horizontal="left" vertical="center" wrapText="1" indent="2"/>
    </xf>
    <xf numFmtId="4" fontId="4" fillId="5" borderId="1" xfId="7" applyNumberFormat="1" applyFont="1" applyFill="1" applyBorder="1" applyAlignment="1">
      <alignment horizontal="center" vertical="center" wrapText="1"/>
    </xf>
    <xf numFmtId="4" fontId="4" fillId="5" borderId="5" xfId="7" applyNumberFormat="1" applyFont="1" applyFill="1" applyBorder="1" applyAlignment="1">
      <alignment horizontal="center" vertical="center" wrapText="1"/>
    </xf>
    <xf numFmtId="0" fontId="86" fillId="3" borderId="18" xfId="0" applyFont="1" applyFill="1" applyBorder="1" applyAlignment="1">
      <alignment horizontal="center"/>
    </xf>
    <xf numFmtId="16" fontId="4" fillId="3" borderId="10" xfId="7" applyNumberFormat="1" applyFont="1" applyFill="1" applyBorder="1" applyAlignment="1">
      <alignment horizontal="left" wrapText="1" indent="2"/>
    </xf>
    <xf numFmtId="0" fontId="8" fillId="3" borderId="38" xfId="7" applyFont="1" applyFill="1" applyBorder="1" applyAlignment="1">
      <alignment horizontal="left" vertical="center" wrapText="1"/>
    </xf>
    <xf numFmtId="4" fontId="91" fillId="3" borderId="41" xfId="0" applyNumberFormat="1" applyFont="1" applyFill="1" applyBorder="1"/>
    <xf numFmtId="4" fontId="91" fillId="3" borderId="10" xfId="0" applyNumberFormat="1" applyFont="1" applyFill="1" applyBorder="1"/>
    <xf numFmtId="4" fontId="91" fillId="3" borderId="11" xfId="0" applyNumberFormat="1" applyFont="1" applyFill="1" applyBorder="1"/>
    <xf numFmtId="0" fontId="86" fillId="3" borderId="2" xfId="0" applyFont="1" applyFill="1" applyBorder="1" applyAlignment="1">
      <alignment horizontal="center"/>
    </xf>
    <xf numFmtId="4" fontId="91" fillId="3" borderId="42" xfId="0" applyNumberFormat="1" applyFont="1" applyFill="1" applyBorder="1"/>
    <xf numFmtId="4" fontId="91" fillId="3" borderId="1" xfId="0" applyNumberFormat="1" applyFont="1" applyFill="1" applyBorder="1" applyAlignment="1">
      <alignment horizontal="center"/>
    </xf>
    <xf numFmtId="0" fontId="86" fillId="3" borderId="13" xfId="0" applyFont="1" applyFill="1" applyBorder="1" applyAlignment="1">
      <alignment horizontal="center"/>
    </xf>
    <xf numFmtId="16" fontId="4" fillId="3" borderId="12" xfId="7" applyNumberFormat="1" applyFont="1" applyFill="1" applyBorder="1" applyAlignment="1">
      <alignment horizontal="left" wrapText="1" indent="2"/>
    </xf>
    <xf numFmtId="0" fontId="8" fillId="3" borderId="12" xfId="7" applyFont="1" applyFill="1" applyBorder="1" applyAlignment="1">
      <alignment horizontal="left" vertical="center" wrapText="1"/>
    </xf>
    <xf numFmtId="4" fontId="91" fillId="3" borderId="51" xfId="0" applyNumberFormat="1" applyFont="1" applyFill="1" applyBorder="1"/>
    <xf numFmtId="4" fontId="91" fillId="3" borderId="12" xfId="0" applyNumberFormat="1" applyFont="1" applyFill="1" applyBorder="1" applyAlignment="1">
      <alignment horizontal="center"/>
    </xf>
    <xf numFmtId="4" fontId="91" fillId="3" borderId="17" xfId="0" applyNumberFormat="1" applyFont="1" applyFill="1" applyBorder="1" applyAlignment="1">
      <alignment horizontal="center"/>
    </xf>
    <xf numFmtId="49" fontId="4" fillId="3" borderId="23" xfId="7" applyNumberFormat="1" applyFont="1" applyFill="1" applyBorder="1" applyAlignment="1">
      <alignment horizontal="center" vertical="center"/>
    </xf>
    <xf numFmtId="0" fontId="4" fillId="3" borderId="24" xfId="7" applyFont="1" applyFill="1" applyBorder="1" applyAlignment="1">
      <alignment horizontal="center" vertical="center"/>
    </xf>
    <xf numFmtId="0" fontId="4" fillId="3" borderId="39" xfId="7" applyFont="1" applyFill="1" applyBorder="1" applyAlignment="1">
      <alignment horizontal="center" vertical="center"/>
    </xf>
    <xf numFmtId="0" fontId="4" fillId="3" borderId="23" xfId="7" applyFont="1" applyFill="1" applyBorder="1" applyAlignment="1">
      <alignment horizontal="center" vertical="center"/>
    </xf>
    <xf numFmtId="0" fontId="4" fillId="3" borderId="20" xfId="7" applyFont="1" applyFill="1" applyBorder="1" applyAlignment="1">
      <alignment horizontal="center" vertical="center"/>
    </xf>
    <xf numFmtId="0" fontId="8" fillId="3" borderId="1" xfId="7" applyFont="1" applyFill="1" applyBorder="1" applyAlignment="1">
      <alignment horizontal="center" vertical="center"/>
    </xf>
    <xf numFmtId="4" fontId="4" fillId="15" borderId="1" xfId="7" applyNumberFormat="1" applyFont="1" applyFill="1" applyBorder="1" applyAlignment="1">
      <alignment horizontal="center" vertical="center"/>
    </xf>
    <xf numFmtId="4" fontId="4" fillId="15" borderId="1" xfId="7" applyNumberFormat="1" applyFont="1" applyFill="1" applyBorder="1" applyAlignment="1" applyProtection="1">
      <alignment horizontal="center" vertical="center"/>
      <protection locked="0"/>
    </xf>
    <xf numFmtId="0" fontId="4" fillId="0" borderId="19" xfId="7" applyFont="1" applyFill="1" applyBorder="1" applyAlignment="1" applyProtection="1">
      <alignment vertical="center" wrapText="1"/>
      <protection locked="0"/>
    </xf>
    <xf numFmtId="0" fontId="4" fillId="0" borderId="40" xfId="7" applyFont="1" applyFill="1" applyBorder="1" applyAlignment="1">
      <alignment vertical="center" wrapText="1"/>
    </xf>
    <xf numFmtId="0" fontId="4" fillId="0" borderId="15" xfId="7" applyFont="1" applyFill="1" applyBorder="1" applyAlignment="1">
      <alignment vertical="center" wrapText="1"/>
    </xf>
    <xf numFmtId="0" fontId="4" fillId="0" borderId="60" xfId="7" applyFont="1" applyFill="1" applyBorder="1" applyAlignment="1" applyProtection="1">
      <alignment vertical="center" wrapText="1"/>
      <protection locked="0"/>
    </xf>
    <xf numFmtId="182" fontId="4" fillId="0" borderId="6" xfId="7" applyNumberFormat="1" applyFont="1" applyFill="1" applyBorder="1" applyAlignment="1" applyProtection="1">
      <alignment vertical="center"/>
      <protection locked="0"/>
    </xf>
    <xf numFmtId="0" fontId="4" fillId="0" borderId="60" xfId="7" applyFont="1" applyFill="1" applyBorder="1" applyAlignment="1" applyProtection="1">
      <alignment vertical="center"/>
      <protection locked="0"/>
    </xf>
    <xf numFmtId="49" fontId="93" fillId="29" borderId="1" xfId="0" applyNumberFormat="1" applyFont="1" applyFill="1" applyBorder="1" applyProtection="1">
      <protection locked="0"/>
    </xf>
    <xf numFmtId="14" fontId="93" fillId="29" borderId="1" xfId="0" applyNumberFormat="1" applyFont="1" applyFill="1" applyBorder="1" applyProtection="1">
      <protection locked="0"/>
    </xf>
    <xf numFmtId="49" fontId="87" fillId="0" borderId="1" xfId="0" applyNumberFormat="1" applyFont="1" applyBorder="1" applyAlignment="1" applyProtection="1">
      <alignment vertical="center" wrapText="1"/>
      <protection locked="0"/>
    </xf>
    <xf numFmtId="180" fontId="4" fillId="5" borderId="1" xfId="7" applyNumberFormat="1" applyFont="1" applyFill="1" applyBorder="1" applyAlignment="1" applyProtection="1">
      <alignment horizontal="right" vertical="center"/>
      <protection locked="0"/>
    </xf>
    <xf numFmtId="0" fontId="84" fillId="0" borderId="81" xfId="0" applyFont="1" applyBorder="1"/>
    <xf numFmtId="0" fontId="108" fillId="0" borderId="0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4" fontId="4" fillId="3" borderId="28" xfId="7" applyNumberFormat="1" applyFont="1" applyFill="1" applyBorder="1" applyAlignment="1" applyProtection="1">
      <alignment horizontal="center" vertical="center" wrapText="1"/>
    </xf>
    <xf numFmtId="4" fontId="4" fillId="3" borderId="0" xfId="7" applyNumberFormat="1" applyFont="1" applyFill="1" applyBorder="1" applyAlignment="1" applyProtection="1">
      <alignment horizontal="center" vertical="center" wrapText="1"/>
    </xf>
    <xf numFmtId="4" fontId="4" fillId="3" borderId="29" xfId="7" applyNumberFormat="1" applyFont="1" applyFill="1" applyBorder="1" applyAlignment="1" applyProtection="1">
      <alignment horizontal="center" vertical="center" wrapText="1"/>
    </xf>
    <xf numFmtId="0" fontId="91" fillId="3" borderId="1" xfId="0" applyFont="1" applyFill="1" applyBorder="1" applyAlignment="1" applyProtection="1">
      <alignment horizontal="center" vertical="center" wrapText="1"/>
    </xf>
    <xf numFmtId="0" fontId="91" fillId="0" borderId="1" xfId="0" applyFont="1" applyBorder="1" applyAlignment="1" applyProtection="1">
      <alignment horizontal="center" vertical="center" wrapText="1"/>
    </xf>
    <xf numFmtId="4" fontId="4" fillId="3" borderId="1" xfId="7" applyNumberFormat="1" applyFont="1" applyFill="1" applyBorder="1" applyAlignment="1" applyProtection="1">
      <alignment horizontal="center" vertical="center" wrapText="1"/>
    </xf>
    <xf numFmtId="0" fontId="89" fillId="0" borderId="0" xfId="0" applyFont="1" applyBorder="1" applyAlignment="1" applyProtection="1">
      <alignment horizontal="left" vertical="center" wrapText="1"/>
    </xf>
    <xf numFmtId="0" fontId="104" fillId="0" borderId="1" xfId="0" applyFont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center"/>
    </xf>
    <xf numFmtId="0" fontId="91" fillId="3" borderId="12" xfId="0" applyFont="1" applyFill="1" applyBorder="1" applyAlignment="1" applyProtection="1">
      <alignment horizontal="center" vertical="center" wrapText="1"/>
    </xf>
    <xf numFmtId="0" fontId="91" fillId="3" borderId="10" xfId="0" applyFont="1" applyFill="1" applyBorder="1" applyAlignment="1" applyProtection="1">
      <alignment horizontal="center" vertical="center" wrapText="1"/>
    </xf>
    <xf numFmtId="4" fontId="91" fillId="3" borderId="1" xfId="0" applyNumberFormat="1" applyFont="1" applyFill="1" applyBorder="1" applyAlignment="1" applyProtection="1">
      <alignment horizontal="center" vertical="center" wrapText="1"/>
    </xf>
    <xf numFmtId="4" fontId="91" fillId="0" borderId="1" xfId="0" applyNumberFormat="1" applyFont="1" applyBorder="1" applyAlignment="1" applyProtection="1">
      <alignment horizontal="center" vertical="center" wrapText="1"/>
    </xf>
    <xf numFmtId="181" fontId="10" fillId="3" borderId="1" xfId="0" applyNumberFormat="1" applyFont="1" applyFill="1" applyBorder="1" applyAlignment="1" applyProtection="1">
      <alignment horizontal="center" vertical="center" wrapText="1"/>
    </xf>
    <xf numFmtId="4" fontId="91" fillId="5" borderId="1" xfId="0" applyNumberFormat="1" applyFont="1" applyFill="1" applyBorder="1" applyAlignment="1" applyProtection="1">
      <alignment horizontal="center" vertical="center" wrapText="1"/>
    </xf>
    <xf numFmtId="4" fontId="128" fillId="3" borderId="1" xfId="0" applyNumberFormat="1" applyFont="1" applyFill="1" applyBorder="1" applyAlignment="1" applyProtection="1">
      <alignment horizontal="center" vertical="center" wrapText="1"/>
    </xf>
    <xf numFmtId="0" fontId="104" fillId="0" borderId="0" xfId="0" applyFont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150" fillId="5" borderId="9" xfId="0" applyNumberFormat="1" applyFont="1" applyFill="1" applyBorder="1" applyAlignment="1" applyProtection="1">
      <alignment horizontal="center" vertical="center" wrapText="1"/>
    </xf>
    <xf numFmtId="4" fontId="150" fillId="5" borderId="42" xfId="0" applyNumberFormat="1" applyFont="1" applyFill="1" applyBorder="1" applyAlignment="1" applyProtection="1">
      <alignment horizontal="center" vertical="center" wrapText="1"/>
    </xf>
    <xf numFmtId="180" fontId="91" fillId="3" borderId="27" xfId="0" applyNumberFormat="1" applyFont="1" applyFill="1" applyBorder="1" applyAlignment="1" applyProtection="1">
      <alignment horizontal="center" vertical="center" wrapText="1"/>
    </xf>
    <xf numFmtId="180" fontId="10" fillId="3" borderId="1" xfId="0" applyNumberFormat="1" applyFont="1" applyFill="1" applyBorder="1" applyAlignment="1" applyProtection="1">
      <alignment horizontal="center" vertical="center" wrapText="1"/>
    </xf>
    <xf numFmtId="0" fontId="155" fillId="3" borderId="0" xfId="0" applyFont="1" applyFill="1" applyBorder="1" applyAlignment="1" applyProtection="1">
      <alignment horizontal="center" wrapText="1"/>
    </xf>
    <xf numFmtId="180" fontId="128" fillId="3" borderId="0" xfId="0" applyNumberFormat="1" applyFont="1" applyFill="1" applyBorder="1" applyAlignment="1" applyProtection="1">
      <alignment horizontal="center" vertical="center" wrapText="1"/>
    </xf>
    <xf numFmtId="0" fontId="91" fillId="0" borderId="1" xfId="0" applyFont="1" applyBorder="1" applyAlignment="1" applyProtection="1">
      <alignment horizontal="left" vertical="center" wrapText="1"/>
    </xf>
    <xf numFmtId="3" fontId="143" fillId="22" borderId="1" xfId="0" applyNumberFormat="1" applyFont="1" applyFill="1" applyBorder="1" applyAlignment="1" applyProtection="1">
      <alignment horizontal="center" vertical="center" wrapText="1"/>
    </xf>
    <xf numFmtId="0" fontId="87" fillId="0" borderId="68" xfId="0" applyNumberFormat="1" applyFont="1" applyBorder="1" applyAlignment="1" applyProtection="1">
      <alignment horizontal="center" vertical="center" wrapText="1"/>
    </xf>
    <xf numFmtId="0" fontId="87" fillId="0" borderId="69" xfId="0" applyNumberFormat="1" applyFont="1" applyBorder="1" applyAlignment="1" applyProtection="1">
      <alignment horizontal="center" vertical="center" wrapText="1"/>
    </xf>
    <xf numFmtId="0" fontId="87" fillId="0" borderId="56" xfId="0" applyNumberFormat="1" applyFont="1" applyBorder="1" applyAlignment="1" applyProtection="1">
      <alignment horizontal="center" vertical="center" wrapText="1"/>
    </xf>
    <xf numFmtId="0" fontId="87" fillId="0" borderId="52" xfId="0" applyNumberFormat="1" applyFont="1" applyBorder="1" applyAlignment="1" applyProtection="1">
      <alignment horizontal="center" vertical="center" wrapText="1"/>
    </xf>
    <xf numFmtId="0" fontId="91" fillId="3" borderId="1" xfId="0" applyFont="1" applyFill="1" applyBorder="1" applyAlignment="1" applyProtection="1">
      <alignment horizontal="left" vertical="center" wrapText="1"/>
    </xf>
    <xf numFmtId="0" fontId="87" fillId="0" borderId="1" xfId="0" applyFont="1" applyBorder="1" applyAlignment="1" applyProtection="1">
      <alignment horizontal="center" vertical="center" wrapText="1"/>
    </xf>
    <xf numFmtId="0" fontId="91" fillId="3" borderId="1" xfId="0" applyFont="1" applyFill="1" applyBorder="1" applyAlignment="1" applyProtection="1">
      <alignment vertical="center" wrapText="1"/>
    </xf>
    <xf numFmtId="0" fontId="91" fillId="0" borderId="28" xfId="0" applyFont="1" applyBorder="1" applyAlignment="1" applyProtection="1">
      <alignment horizontal="center" wrapText="1"/>
    </xf>
    <xf numFmtId="0" fontId="91" fillId="0" borderId="0" xfId="0" applyFont="1" applyAlignment="1" applyProtection="1">
      <alignment horizontal="center" wrapText="1"/>
    </xf>
    <xf numFmtId="0" fontId="153" fillId="0" borderId="0" xfId="0" applyFont="1" applyBorder="1" applyAlignment="1" applyProtection="1">
      <alignment horizontal="center" vertical="center" wrapText="1"/>
    </xf>
    <xf numFmtId="0" fontId="154" fillId="0" borderId="0" xfId="0" applyFont="1" applyBorder="1" applyAlignment="1" applyProtection="1">
      <alignment horizontal="center" vertical="center" wrapText="1"/>
    </xf>
    <xf numFmtId="0" fontId="91" fillId="0" borderId="42" xfId="0" applyNumberFormat="1" applyFont="1" applyBorder="1" applyAlignment="1" applyProtection="1">
      <alignment horizontal="center" vertical="center" wrapText="1"/>
    </xf>
    <xf numFmtId="0" fontId="91" fillId="0" borderId="1" xfId="0" applyNumberFormat="1" applyFont="1" applyBorder="1" applyAlignment="1" applyProtection="1">
      <alignment horizontal="center" vertical="center" wrapText="1"/>
    </xf>
    <xf numFmtId="0" fontId="91" fillId="0" borderId="12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4" fontId="128" fillId="3" borderId="1" xfId="7" applyNumberFormat="1" applyFont="1" applyFill="1" applyBorder="1" applyAlignment="1" applyProtection="1">
      <alignment horizontal="center" vertical="center" wrapText="1"/>
    </xf>
    <xf numFmtId="0" fontId="148" fillId="0" borderId="1" xfId="0" applyFont="1" applyBorder="1" applyAlignment="1" applyProtection="1">
      <alignment horizontal="center" vertical="center" wrapText="1"/>
    </xf>
    <xf numFmtId="0" fontId="148" fillId="0" borderId="12" xfId="0" applyFont="1" applyBorder="1" applyAlignment="1" applyProtection="1">
      <alignment horizontal="center" vertical="center" wrapText="1"/>
    </xf>
    <xf numFmtId="0" fontId="91" fillId="0" borderId="12" xfId="0" applyFont="1" applyBorder="1" applyAlignment="1" applyProtection="1">
      <alignment horizontal="center" vertical="center" wrapText="1"/>
    </xf>
    <xf numFmtId="4" fontId="4" fillId="3" borderId="12" xfId="7" applyNumberFormat="1" applyFont="1" applyFill="1" applyBorder="1" applyAlignment="1" applyProtection="1">
      <alignment horizontal="center" vertical="center" wrapText="1"/>
    </xf>
    <xf numFmtId="0" fontId="102" fillId="0" borderId="0" xfId="0" applyFont="1" applyBorder="1" applyAlignment="1" applyProtection="1">
      <alignment horizontal="left" vertical="center" wrapText="1"/>
    </xf>
    <xf numFmtId="4" fontId="143" fillId="22" borderId="1" xfId="7" applyNumberFormat="1" applyFont="1" applyFill="1" applyBorder="1" applyAlignment="1" applyProtection="1">
      <alignment horizontal="center" vertical="center" wrapText="1"/>
    </xf>
    <xf numFmtId="0" fontId="143" fillId="22" borderId="1" xfId="0" applyFont="1" applyFill="1" applyBorder="1" applyAlignment="1" applyProtection="1">
      <alignment horizontal="center" vertical="center" wrapText="1"/>
    </xf>
    <xf numFmtId="0" fontId="143" fillId="22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4" fontId="143" fillId="22" borderId="12" xfId="7" applyNumberFormat="1" applyFont="1" applyFill="1" applyBorder="1" applyAlignment="1" applyProtection="1">
      <alignment horizontal="center" vertical="center" wrapText="1"/>
    </xf>
    <xf numFmtId="0" fontId="143" fillId="22" borderId="12" xfId="0" applyFont="1" applyFill="1" applyBorder="1" applyAlignment="1" applyProtection="1">
      <alignment horizontal="center" vertical="center" wrapText="1"/>
    </xf>
    <xf numFmtId="0" fontId="143" fillId="22" borderId="12" xfId="0" applyFont="1" applyFill="1" applyBorder="1" applyAlignment="1" applyProtection="1">
      <alignment horizontal="left" vertical="center" wrapText="1"/>
    </xf>
    <xf numFmtId="4" fontId="143" fillId="22" borderId="1" xfId="0" applyNumberFormat="1" applyFont="1" applyFill="1" applyBorder="1" applyAlignment="1" applyProtection="1">
      <alignment horizontal="center" vertical="center" wrapText="1"/>
    </xf>
    <xf numFmtId="4" fontId="143" fillId="22" borderId="27" xfId="7" applyNumberFormat="1" applyFont="1" applyFill="1" applyBorder="1" applyAlignment="1" applyProtection="1">
      <alignment horizontal="center" vertical="center" wrapText="1"/>
    </xf>
    <xf numFmtId="4" fontId="143" fillId="22" borderId="10" xfId="7" applyNumberFormat="1" applyFont="1" applyFill="1" applyBorder="1" applyAlignment="1" applyProtection="1">
      <alignment horizontal="center" vertical="center" wrapText="1"/>
    </xf>
    <xf numFmtId="0" fontId="91" fillId="0" borderId="12" xfId="0" applyFont="1" applyBorder="1" applyAlignment="1" applyProtection="1">
      <alignment horizontal="left" vertical="center" wrapText="1"/>
    </xf>
    <xf numFmtId="0" fontId="143" fillId="22" borderId="10" xfId="0" applyFont="1" applyFill="1" applyBorder="1" applyAlignment="1" applyProtection="1">
      <alignment horizontal="center" vertical="center" wrapText="1"/>
    </xf>
    <xf numFmtId="0" fontId="143" fillId="22" borderId="10" xfId="0" applyFont="1" applyFill="1" applyBorder="1" applyAlignment="1" applyProtection="1">
      <alignment horizontal="left" vertical="center" wrapText="1"/>
    </xf>
    <xf numFmtId="4" fontId="4" fillId="3" borderId="9" xfId="7" applyNumberFormat="1" applyFont="1" applyFill="1" applyBorder="1" applyAlignment="1" applyProtection="1">
      <alignment horizontal="center" vertical="center" wrapText="1"/>
    </xf>
    <xf numFmtId="180" fontId="128" fillId="3" borderId="9" xfId="0" applyNumberFormat="1" applyFont="1" applyFill="1" applyBorder="1" applyAlignment="1" applyProtection="1">
      <alignment horizontal="center" vertical="center" wrapText="1"/>
    </xf>
    <xf numFmtId="180" fontId="128" fillId="3" borderId="52" xfId="0" applyNumberFormat="1" applyFont="1" applyFill="1" applyBorder="1" applyAlignment="1" applyProtection="1">
      <alignment horizontal="center" vertical="center" wrapText="1"/>
    </xf>
    <xf numFmtId="180" fontId="128" fillId="3" borderId="42" xfId="0" applyNumberFormat="1" applyFont="1" applyFill="1" applyBorder="1" applyAlignment="1" applyProtection="1">
      <alignment horizontal="center" vertical="center" wrapText="1"/>
    </xf>
    <xf numFmtId="0" fontId="128" fillId="22" borderId="1" xfId="0" applyFont="1" applyFill="1" applyBorder="1" applyAlignment="1" applyProtection="1">
      <alignment horizontal="center" vertical="center" wrapText="1"/>
    </xf>
    <xf numFmtId="0" fontId="128" fillId="22" borderId="1" xfId="0" applyFont="1" applyFill="1" applyBorder="1" applyAlignment="1" applyProtection="1">
      <alignment horizontal="left" vertical="center" wrapText="1"/>
    </xf>
    <xf numFmtId="4" fontId="91" fillId="3" borderId="0" xfId="0" applyNumberFormat="1" applyFont="1" applyFill="1" applyBorder="1" applyAlignment="1" applyProtection="1">
      <alignment horizontal="center" vertical="center" wrapText="1"/>
    </xf>
    <xf numFmtId="0" fontId="91" fillId="3" borderId="65" xfId="0" applyFont="1" applyFill="1" applyBorder="1" applyAlignment="1">
      <alignment horizontal="center" vertical="center" wrapText="1"/>
    </xf>
    <xf numFmtId="0" fontId="91" fillId="3" borderId="67" xfId="0" applyFont="1" applyFill="1" applyBorder="1" applyAlignment="1">
      <alignment horizontal="center" vertical="center" wrapText="1"/>
    </xf>
    <xf numFmtId="180" fontId="128" fillId="3" borderId="1" xfId="0" applyNumberFormat="1" applyFont="1" applyFill="1" applyBorder="1" applyAlignment="1" applyProtection="1">
      <alignment horizontal="center" vertical="center" wrapText="1"/>
    </xf>
    <xf numFmtId="0" fontId="128" fillId="22" borderId="65" xfId="0" applyFont="1" applyFill="1" applyBorder="1" applyAlignment="1">
      <alignment horizontal="center" vertical="center" wrapText="1"/>
    </xf>
    <xf numFmtId="0" fontId="128" fillId="22" borderId="67" xfId="0" applyFont="1" applyFill="1" applyBorder="1" applyAlignment="1">
      <alignment horizontal="center" vertical="center" wrapText="1"/>
    </xf>
    <xf numFmtId="180" fontId="4" fillId="3" borderId="1" xfId="0" applyNumberFormat="1" applyFont="1" applyFill="1" applyBorder="1" applyAlignment="1" applyProtection="1">
      <alignment horizontal="center" vertical="center" wrapText="1"/>
    </xf>
    <xf numFmtId="49" fontId="91" fillId="0" borderId="12" xfId="0" applyNumberFormat="1" applyFont="1" applyBorder="1" applyAlignment="1" applyProtection="1">
      <alignment horizontal="center" vertical="center" wrapText="1"/>
    </xf>
    <xf numFmtId="49" fontId="91" fillId="0" borderId="10" xfId="0" applyNumberFormat="1" applyFont="1" applyBorder="1" applyAlignment="1" applyProtection="1">
      <alignment horizontal="center" vertical="center" wrapText="1"/>
    </xf>
    <xf numFmtId="0" fontId="91" fillId="3" borderId="66" xfId="0" applyFont="1" applyFill="1" applyBorder="1" applyAlignment="1">
      <alignment horizontal="center" vertical="center" wrapText="1"/>
    </xf>
    <xf numFmtId="0" fontId="91" fillId="3" borderId="2" xfId="0" applyFont="1" applyFill="1" applyBorder="1" applyAlignment="1">
      <alignment horizontal="center" vertical="center" wrapText="1"/>
    </xf>
    <xf numFmtId="0" fontId="91" fillId="3" borderId="8" xfId="0" applyFont="1" applyFill="1" applyBorder="1" applyAlignment="1">
      <alignment horizontal="center" vertical="center" wrapText="1"/>
    </xf>
    <xf numFmtId="180" fontId="128" fillId="3" borderId="12" xfId="0" applyNumberFormat="1" applyFont="1" applyFill="1" applyBorder="1" applyAlignment="1" applyProtection="1">
      <alignment horizontal="center" vertical="center" wrapText="1"/>
    </xf>
    <xf numFmtId="180" fontId="128" fillId="3" borderId="10" xfId="0" applyNumberFormat="1" applyFont="1" applyFill="1" applyBorder="1" applyAlignment="1" applyProtection="1">
      <alignment horizontal="center" vertical="center" wrapText="1"/>
    </xf>
    <xf numFmtId="183" fontId="4" fillId="0" borderId="0" xfId="7" applyNumberFormat="1" applyFont="1" applyFill="1" applyBorder="1" applyAlignment="1" applyProtection="1">
      <alignment horizontal="center" vertical="center" wrapText="1"/>
    </xf>
    <xf numFmtId="0" fontId="4" fillId="3" borderId="4" xfId="7" applyFont="1" applyFill="1" applyBorder="1" applyAlignment="1" applyProtection="1">
      <alignment horizontal="center" vertical="center" wrapText="1"/>
    </xf>
    <xf numFmtId="0" fontId="4" fillId="3" borderId="5" xfId="7" applyFont="1" applyFill="1" applyBorder="1" applyAlignment="1" applyProtection="1">
      <alignment horizontal="center" vertical="center" wrapText="1"/>
    </xf>
    <xf numFmtId="0" fontId="7" fillId="0" borderId="3" xfId="7" applyFont="1" applyFill="1" applyBorder="1" applyAlignment="1">
      <alignment horizontal="center" vertical="center"/>
    </xf>
    <xf numFmtId="0" fontId="4" fillId="6" borderId="1" xfId="7" applyFont="1" applyFill="1" applyBorder="1" applyAlignment="1">
      <alignment horizontal="center" vertical="center" wrapText="1"/>
    </xf>
    <xf numFmtId="0" fontId="4" fillId="6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4" fillId="14" borderId="3" xfId="7" applyFont="1" applyFill="1" applyBorder="1" applyAlignment="1" applyProtection="1">
      <alignment horizontal="center" vertical="center" wrapText="1"/>
    </xf>
    <xf numFmtId="0" fontId="4" fillId="14" borderId="1" xfId="7" applyFont="1" applyFill="1" applyBorder="1" applyAlignment="1" applyProtection="1">
      <alignment horizontal="center" vertical="center" wrapText="1"/>
    </xf>
    <xf numFmtId="0" fontId="4" fillId="3" borderId="36" xfId="7" applyFont="1" applyFill="1" applyBorder="1" applyAlignment="1" applyProtection="1">
      <alignment horizontal="center" vertical="center" wrapText="1"/>
    </xf>
    <xf numFmtId="0" fontId="4" fillId="3" borderId="42" xfId="7" applyFont="1" applyFill="1" applyBorder="1" applyAlignment="1" applyProtection="1">
      <alignment horizontal="center" vertical="center" wrapText="1"/>
    </xf>
    <xf numFmtId="0" fontId="4" fillId="3" borderId="70" xfId="7" applyFont="1" applyFill="1" applyBorder="1" applyAlignment="1" applyProtection="1">
      <alignment horizontal="center" vertical="center" wrapText="1"/>
    </xf>
    <xf numFmtId="0" fontId="4" fillId="3" borderId="34" xfId="7" applyFont="1" applyFill="1" applyBorder="1" applyAlignment="1" applyProtection="1">
      <alignment horizontal="center" vertical="center" wrapText="1"/>
    </xf>
    <xf numFmtId="0" fontId="4" fillId="3" borderId="72" xfId="7" applyFont="1" applyFill="1" applyBorder="1" applyAlignment="1">
      <alignment horizontal="center" vertical="center" wrapText="1"/>
    </xf>
    <xf numFmtId="0" fontId="4" fillId="3" borderId="73" xfId="7" applyFont="1" applyFill="1" applyBorder="1" applyAlignment="1">
      <alignment horizontal="center" vertical="center" wrapText="1"/>
    </xf>
    <xf numFmtId="0" fontId="4" fillId="3" borderId="60" xfId="7" applyFont="1" applyFill="1" applyBorder="1" applyAlignment="1">
      <alignment horizontal="center" vertical="center" wrapText="1"/>
    </xf>
    <xf numFmtId="0" fontId="4" fillId="3" borderId="0" xfId="7" applyFont="1" applyFill="1" applyBorder="1" applyAlignment="1">
      <alignment horizontal="center" vertical="center" wrapText="1"/>
    </xf>
    <xf numFmtId="0" fontId="4" fillId="3" borderId="14" xfId="7" applyFont="1" applyFill="1" applyBorder="1" applyAlignment="1" applyProtection="1">
      <alignment horizontal="center" vertical="center" wrapText="1"/>
    </xf>
    <xf numFmtId="0" fontId="4" fillId="3" borderId="2" xfId="7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0" fontId="4" fillId="3" borderId="1" xfId="7" applyFont="1" applyFill="1" applyBorder="1" applyAlignment="1" applyProtection="1">
      <alignment horizontal="center" vertical="center" wrapText="1"/>
    </xf>
    <xf numFmtId="0" fontId="8" fillId="3" borderId="1" xfId="7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left" vertical="center" wrapText="1"/>
    </xf>
    <xf numFmtId="183" fontId="4" fillId="3" borderId="1" xfId="7" applyNumberFormat="1" applyFont="1" applyFill="1" applyBorder="1" applyAlignment="1" applyProtection="1">
      <alignment horizontal="left" vertical="center" wrapText="1"/>
      <protection locked="0"/>
    </xf>
    <xf numFmtId="0" fontId="4" fillId="3" borderId="0" xfId="7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0" fontId="4" fillId="3" borderId="70" xfId="7" applyFont="1" applyFill="1" applyBorder="1" applyAlignment="1">
      <alignment horizontal="center" vertical="center" wrapText="1"/>
    </xf>
    <xf numFmtId="0" fontId="4" fillId="3" borderId="34" xfId="7" applyFont="1" applyFill="1" applyBorder="1" applyAlignment="1">
      <alignment horizontal="center" vertical="center" wrapText="1"/>
    </xf>
    <xf numFmtId="0" fontId="4" fillId="3" borderId="71" xfId="7" applyFont="1" applyFill="1" applyBorder="1" applyAlignment="1">
      <alignment horizontal="center" vertical="center" wrapText="1"/>
    </xf>
    <xf numFmtId="0" fontId="4" fillId="3" borderId="9" xfId="7" applyFont="1" applyFill="1" applyBorder="1" applyAlignment="1">
      <alignment horizontal="center" vertical="center" wrapText="1"/>
    </xf>
    <xf numFmtId="0" fontId="4" fillId="3" borderId="52" xfId="7" applyFont="1" applyFill="1" applyBorder="1" applyAlignment="1">
      <alignment horizontal="center" vertical="center" wrapText="1"/>
    </xf>
    <xf numFmtId="0" fontId="4" fillId="3" borderId="42" xfId="7" applyFont="1" applyFill="1" applyBorder="1" applyAlignment="1">
      <alignment horizontal="center" vertical="center" wrapText="1"/>
    </xf>
    <xf numFmtId="0" fontId="8" fillId="3" borderId="9" xfId="7" applyFont="1" applyFill="1" applyBorder="1" applyAlignment="1">
      <alignment horizontal="center" vertical="center" wrapText="1"/>
    </xf>
    <xf numFmtId="0" fontId="8" fillId="3" borderId="52" xfId="7" applyFont="1" applyFill="1" applyBorder="1" applyAlignment="1">
      <alignment horizontal="center" vertical="center" wrapText="1"/>
    </xf>
    <xf numFmtId="0" fontId="8" fillId="3" borderId="42" xfId="7" applyFont="1" applyFill="1" applyBorder="1" applyAlignment="1">
      <alignment horizontal="center" vertical="center" wrapText="1"/>
    </xf>
    <xf numFmtId="0" fontId="8" fillId="3" borderId="49" xfId="7" applyFont="1" applyFill="1" applyBorder="1" applyAlignment="1">
      <alignment horizontal="center" vertical="center" wrapText="1"/>
    </xf>
    <xf numFmtId="0" fontId="8" fillId="3" borderId="61" xfId="7" applyFont="1" applyFill="1" applyBorder="1" applyAlignment="1">
      <alignment horizontal="center" vertical="center" wrapText="1"/>
    </xf>
    <xf numFmtId="0" fontId="8" fillId="3" borderId="51" xfId="7" applyFont="1" applyFill="1" applyBorder="1" applyAlignment="1">
      <alignment horizontal="center" vertical="center" wrapText="1"/>
    </xf>
    <xf numFmtId="0" fontId="4" fillId="3" borderId="14" xfId="7" applyFont="1" applyFill="1" applyBorder="1" applyAlignment="1">
      <alignment horizontal="center" vertical="center" wrapText="1"/>
    </xf>
    <xf numFmtId="0" fontId="4" fillId="3" borderId="3" xfId="7" applyFont="1" applyFill="1" applyBorder="1" applyAlignment="1">
      <alignment horizontal="center" vertical="center" wrapText="1"/>
    </xf>
    <xf numFmtId="0" fontId="4" fillId="3" borderId="38" xfId="7" applyFont="1" applyFill="1" applyBorder="1" applyAlignment="1">
      <alignment horizontal="center" vertical="center" wrapText="1"/>
    </xf>
    <xf numFmtId="0" fontId="4" fillId="3" borderId="4" xfId="7" applyFont="1" applyFill="1" applyBorder="1" applyAlignment="1">
      <alignment horizontal="center" vertical="center" wrapText="1"/>
    </xf>
    <xf numFmtId="4" fontId="4" fillId="3" borderId="1" xfId="7" applyNumberFormat="1" applyFont="1" applyFill="1" applyBorder="1" applyAlignment="1" applyProtection="1">
      <alignment horizontal="right" vertical="center" wrapText="1"/>
    </xf>
    <xf numFmtId="0" fontId="4" fillId="3" borderId="49" xfId="7" applyFont="1" applyFill="1" applyBorder="1" applyAlignment="1">
      <alignment horizontal="center" vertical="center" wrapText="1"/>
    </xf>
    <xf numFmtId="49" fontId="4" fillId="3" borderId="9" xfId="7" applyNumberFormat="1" applyFont="1" applyFill="1" applyBorder="1" applyAlignment="1">
      <alignment horizontal="center" vertical="center" wrapText="1"/>
    </xf>
    <xf numFmtId="49" fontId="4" fillId="3" borderId="61" xfId="7" applyNumberFormat="1" applyFont="1" applyFill="1" applyBorder="1" applyAlignment="1">
      <alignment horizontal="center" vertical="center" wrapText="1"/>
    </xf>
    <xf numFmtId="0" fontId="8" fillId="30" borderId="1" xfId="7" applyFont="1" applyFill="1" applyBorder="1" applyAlignment="1">
      <alignment horizontal="center" vertical="center" wrapText="1"/>
    </xf>
    <xf numFmtId="0" fontId="8" fillId="30" borderId="12" xfId="7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97" fillId="0" borderId="62" xfId="7" applyFont="1" applyFill="1" applyBorder="1" applyAlignment="1">
      <alignment horizontal="center" vertical="center"/>
    </xf>
    <xf numFmtId="183" fontId="4" fillId="0" borderId="1" xfId="7" applyNumberFormat="1" applyFont="1" applyFill="1" applyBorder="1" applyAlignment="1" applyProtection="1">
      <alignment horizontal="center" vertical="center" wrapText="1"/>
    </xf>
    <xf numFmtId="49" fontId="8" fillId="0" borderId="0" xfId="7" applyNumberFormat="1" applyFont="1" applyFill="1" applyBorder="1" applyAlignment="1">
      <alignment horizontal="left" vertical="center"/>
    </xf>
    <xf numFmtId="0" fontId="4" fillId="3" borderId="16" xfId="7" applyFont="1" applyFill="1" applyBorder="1" applyAlignment="1">
      <alignment horizontal="center" vertical="center"/>
    </xf>
    <xf numFmtId="0" fontId="4" fillId="3" borderId="46" xfId="7" applyFont="1" applyFill="1" applyBorder="1" applyAlignment="1">
      <alignment horizontal="center" vertical="center"/>
    </xf>
    <xf numFmtId="49" fontId="4" fillId="3" borderId="14" xfId="7" applyNumberFormat="1" applyFont="1" applyFill="1" applyBorder="1" applyAlignment="1">
      <alignment vertical="center"/>
    </xf>
    <xf numFmtId="49" fontId="4" fillId="3" borderId="2" xfId="7" applyNumberFormat="1" applyFont="1" applyFill="1" applyBorder="1" applyAlignment="1">
      <alignment vertical="center"/>
    </xf>
    <xf numFmtId="49" fontId="4" fillId="3" borderId="13" xfId="7" applyNumberFormat="1" applyFont="1" applyFill="1" applyBorder="1" applyAlignment="1">
      <alignment vertical="center"/>
    </xf>
    <xf numFmtId="0" fontId="4" fillId="3" borderId="3" xfId="7" applyFont="1" applyFill="1" applyBorder="1" applyAlignment="1">
      <alignment horizontal="center" vertical="center"/>
    </xf>
    <xf numFmtId="0" fontId="4" fillId="3" borderId="38" xfId="7" applyFont="1" applyFill="1" applyBorder="1" applyAlignment="1">
      <alignment horizontal="center" vertical="center"/>
    </xf>
    <xf numFmtId="0" fontId="4" fillId="3" borderId="1" xfId="7" applyFont="1" applyFill="1" applyBorder="1" applyAlignment="1">
      <alignment horizontal="center" vertical="center"/>
    </xf>
    <xf numFmtId="0" fontId="4" fillId="3" borderId="9" xfId="7" applyFont="1" applyFill="1" applyBorder="1" applyAlignment="1">
      <alignment horizontal="center" vertical="center"/>
    </xf>
    <xf numFmtId="0" fontId="4" fillId="3" borderId="12" xfId="7" applyFont="1" applyFill="1" applyBorder="1" applyAlignment="1">
      <alignment horizontal="center" vertical="center"/>
    </xf>
    <xf numFmtId="0" fontId="4" fillId="3" borderId="49" xfId="7" applyFont="1" applyFill="1" applyBorder="1" applyAlignment="1">
      <alignment horizontal="center" vertical="center"/>
    </xf>
    <xf numFmtId="0" fontId="8" fillId="3" borderId="12" xfId="7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left" vertical="center" wrapText="1" indent="2"/>
    </xf>
    <xf numFmtId="0" fontId="101" fillId="0" borderId="9" xfId="0" applyFont="1" applyBorder="1" applyAlignment="1">
      <alignment horizontal="left" vertical="center" wrapText="1"/>
    </xf>
    <xf numFmtId="0" fontId="101" fillId="0" borderId="52" xfId="0" applyFont="1" applyBorder="1" applyAlignment="1">
      <alignment horizontal="left" vertical="center" wrapText="1"/>
    </xf>
    <xf numFmtId="0" fontId="101" fillId="0" borderId="42" xfId="0" applyFont="1" applyBorder="1" applyAlignment="1">
      <alignment horizontal="left" vertical="center" wrapText="1"/>
    </xf>
    <xf numFmtId="0" fontId="87" fillId="0" borderId="1" xfId="0" applyFont="1" applyBorder="1" applyAlignment="1">
      <alignment horizontal="left" vertical="center" wrapText="1"/>
    </xf>
    <xf numFmtId="0" fontId="4" fillId="0" borderId="1" xfId="7" applyFont="1" applyFill="1" applyBorder="1" applyAlignment="1">
      <alignment horizontal="left" vertical="center"/>
    </xf>
    <xf numFmtId="0" fontId="87" fillId="0" borderId="9" xfId="0" applyFont="1" applyBorder="1" applyAlignment="1">
      <alignment horizontal="left" vertical="center" wrapText="1"/>
    </xf>
    <xf numFmtId="0" fontId="87" fillId="0" borderId="52" xfId="0" applyFont="1" applyBorder="1" applyAlignment="1">
      <alignment horizontal="left" vertical="center" wrapText="1"/>
    </xf>
    <xf numFmtId="0" fontId="87" fillId="0" borderId="42" xfId="0" applyFont="1" applyBorder="1" applyAlignment="1">
      <alignment horizontal="left" vertical="center" wrapText="1"/>
    </xf>
    <xf numFmtId="0" fontId="82" fillId="0" borderId="9" xfId="5" applyBorder="1" applyAlignment="1" applyProtection="1">
      <alignment horizontal="center" vertical="center" wrapText="1"/>
      <protection locked="0"/>
    </xf>
    <xf numFmtId="0" fontId="82" fillId="0" borderId="52" xfId="5" applyBorder="1" applyAlignment="1" applyProtection="1">
      <alignment horizontal="center" vertical="center" wrapText="1"/>
      <protection locked="0"/>
    </xf>
    <xf numFmtId="0" fontId="82" fillId="0" borderId="42" xfId="5" applyBorder="1" applyAlignment="1" applyProtection="1">
      <alignment horizontal="center" vertical="center" wrapText="1"/>
      <protection locked="0"/>
    </xf>
    <xf numFmtId="0" fontId="101" fillId="0" borderId="52" xfId="0" applyFont="1" applyBorder="1" applyAlignment="1" applyProtection="1">
      <alignment horizontal="center" vertical="center" wrapText="1"/>
      <protection locked="0"/>
    </xf>
    <xf numFmtId="0" fontId="101" fillId="0" borderId="42" xfId="0" applyFont="1" applyBorder="1" applyAlignment="1" applyProtection="1">
      <alignment horizontal="center" vertical="center" wrapText="1"/>
      <protection locked="0"/>
    </xf>
    <xf numFmtId="180" fontId="8" fillId="3" borderId="1" xfId="7" applyNumberFormat="1" applyFont="1" applyFill="1" applyBorder="1" applyAlignment="1">
      <alignment horizontal="left" vertical="center"/>
    </xf>
    <xf numFmtId="0" fontId="156" fillId="0" borderId="9" xfId="0" applyFont="1" applyBorder="1" applyAlignment="1">
      <alignment horizontal="center" vertical="center" wrapText="1"/>
    </xf>
    <xf numFmtId="0" fontId="156" fillId="0" borderId="52" xfId="0" applyFont="1" applyBorder="1" applyAlignment="1">
      <alignment horizontal="center" vertical="center" wrapText="1"/>
    </xf>
    <xf numFmtId="0" fontId="156" fillId="0" borderId="42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0" fontId="87" fillId="0" borderId="52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4" fillId="3" borderId="2" xfId="7" applyFont="1" applyFill="1" applyBorder="1" applyAlignment="1">
      <alignment horizontal="center" vertical="center" wrapText="1"/>
    </xf>
    <xf numFmtId="0" fontId="4" fillId="3" borderId="13" xfId="7" applyFont="1" applyFill="1" applyBorder="1" applyAlignment="1">
      <alignment horizontal="center" vertical="center" wrapText="1"/>
    </xf>
    <xf numFmtId="0" fontId="8" fillId="3" borderId="2" xfId="7" applyFont="1" applyFill="1" applyBorder="1" applyAlignment="1">
      <alignment horizontal="center" vertical="center" wrapText="1"/>
    </xf>
    <xf numFmtId="0" fontId="8" fillId="3" borderId="13" xfId="7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center" vertical="center" wrapText="1"/>
    </xf>
    <xf numFmtId="0" fontId="4" fillId="3" borderId="5" xfId="7" applyFont="1" applyFill="1" applyBorder="1" applyAlignment="1">
      <alignment horizontal="center" vertical="center" wrapText="1"/>
    </xf>
    <xf numFmtId="4" fontId="4" fillId="3" borderId="1" xfId="7" applyNumberFormat="1" applyFont="1" applyFill="1" applyBorder="1" applyAlignment="1" applyProtection="1">
      <alignment horizontal="right" vertical="center"/>
      <protection locked="0"/>
    </xf>
    <xf numFmtId="0" fontId="4" fillId="0" borderId="1" xfId="7" applyFont="1" applyFill="1" applyBorder="1" applyAlignment="1">
      <alignment horizontal="left" vertical="center" wrapText="1"/>
    </xf>
    <xf numFmtId="0" fontId="4" fillId="0" borderId="9" xfId="7" applyFont="1" applyFill="1" applyBorder="1" applyAlignment="1">
      <alignment horizontal="left" vertical="center" wrapText="1"/>
    </xf>
    <xf numFmtId="0" fontId="4" fillId="0" borderId="0" xfId="7" applyFont="1" applyFill="1" applyBorder="1" applyAlignment="1" applyProtection="1">
      <alignment horizontal="center" vertical="center"/>
    </xf>
    <xf numFmtId="0" fontId="91" fillId="0" borderId="0" xfId="0" applyFont="1" applyFill="1" applyBorder="1" applyAlignment="1">
      <alignment horizontal="right" vertical="center" wrapText="1"/>
    </xf>
    <xf numFmtId="0" fontId="89" fillId="0" borderId="0" xfId="0" applyFont="1" applyAlignment="1" applyProtection="1">
      <alignment horizontal="center" vertical="center"/>
      <protection locked="0"/>
    </xf>
    <xf numFmtId="0" fontId="106" fillId="0" borderId="62" xfId="0" applyFont="1" applyBorder="1" applyAlignment="1">
      <alignment horizontal="left" vertical="center" wrapText="1"/>
    </xf>
    <xf numFmtId="0" fontId="4" fillId="3" borderId="24" xfId="7" applyFont="1" applyFill="1" applyBorder="1" applyAlignment="1">
      <alignment horizontal="center" vertical="center"/>
    </xf>
    <xf numFmtId="0" fontId="8" fillId="3" borderId="1" xfId="7" applyFont="1" applyFill="1" applyBorder="1" applyAlignment="1">
      <alignment horizontal="left" vertical="center" wrapText="1"/>
    </xf>
    <xf numFmtId="0" fontId="91" fillId="0" borderId="1" xfId="0" applyFont="1" applyBorder="1" applyAlignment="1">
      <alignment horizontal="left" vertical="center" wrapText="1"/>
    </xf>
    <xf numFmtId="0" fontId="4" fillId="3" borderId="52" xfId="7" applyFont="1" applyFill="1" applyBorder="1" applyAlignment="1">
      <alignment horizontal="center" vertical="center"/>
    </xf>
    <xf numFmtId="0" fontId="4" fillId="3" borderId="42" xfId="7" applyFont="1" applyFill="1" applyBorder="1" applyAlignment="1">
      <alignment horizontal="center" vertical="center"/>
    </xf>
    <xf numFmtId="49" fontId="4" fillId="3" borderId="14" xfId="7" applyNumberFormat="1" applyFont="1" applyFill="1" applyBorder="1" applyAlignment="1">
      <alignment horizontal="center" vertical="center"/>
    </xf>
    <xf numFmtId="49" fontId="4" fillId="3" borderId="2" xfId="7" applyNumberFormat="1" applyFont="1" applyFill="1" applyBorder="1" applyAlignment="1">
      <alignment horizontal="center" vertical="center"/>
    </xf>
    <xf numFmtId="49" fontId="4" fillId="3" borderId="13" xfId="7" applyNumberFormat="1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left" vertical="center" wrapText="1"/>
    </xf>
    <xf numFmtId="0" fontId="4" fillId="0" borderId="22" xfId="7" applyFont="1" applyFill="1" applyBorder="1" applyAlignment="1">
      <alignment horizontal="left" vertical="center" wrapText="1"/>
    </xf>
    <xf numFmtId="49" fontId="4" fillId="3" borderId="1" xfId="7" applyNumberFormat="1" applyFont="1" applyFill="1" applyBorder="1" applyAlignment="1">
      <alignment horizontal="left" vertical="top" wrapText="1" readingOrder="1"/>
    </xf>
    <xf numFmtId="0" fontId="89" fillId="0" borderId="0" xfId="0" applyFont="1" applyBorder="1" applyAlignment="1">
      <alignment horizontal="left" vertical="center"/>
    </xf>
    <xf numFmtId="0" fontId="91" fillId="0" borderId="1" xfId="0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 indent="2"/>
    </xf>
    <xf numFmtId="0" fontId="8" fillId="0" borderId="1" xfId="7" applyFont="1" applyFill="1" applyBorder="1" applyAlignment="1">
      <alignment horizontal="left" vertical="center" wrapText="1" indent="1"/>
    </xf>
    <xf numFmtId="0" fontId="8" fillId="0" borderId="10" xfId="7" applyFont="1" applyFill="1" applyBorder="1" applyAlignment="1">
      <alignment horizontal="left" vertical="center" wrapText="1"/>
    </xf>
    <xf numFmtId="0" fontId="4" fillId="3" borderId="1" xfId="7" applyFont="1" applyFill="1" applyBorder="1" applyAlignment="1">
      <alignment horizontal="left" vertical="center" wrapText="1" indent="1"/>
    </xf>
    <xf numFmtId="0" fontId="4" fillId="3" borderId="9" xfId="7" applyFont="1" applyFill="1" applyBorder="1" applyAlignment="1">
      <alignment horizontal="left" vertical="center" wrapText="1" indent="1"/>
    </xf>
    <xf numFmtId="4" fontId="4" fillId="3" borderId="68" xfId="7" applyNumberFormat="1" applyFont="1" applyFill="1" applyBorder="1" applyAlignment="1">
      <alignment horizontal="center" vertical="center"/>
    </xf>
    <xf numFmtId="4" fontId="4" fillId="3" borderId="69" xfId="7" applyNumberFormat="1" applyFont="1" applyFill="1" applyBorder="1" applyAlignment="1">
      <alignment horizontal="center" vertical="center"/>
    </xf>
    <xf numFmtId="4" fontId="4" fillId="3" borderId="56" xfId="7" applyNumberFormat="1" applyFont="1" applyFill="1" applyBorder="1" applyAlignment="1">
      <alignment horizontal="center" vertical="center"/>
    </xf>
    <xf numFmtId="0" fontId="4" fillId="3" borderId="57" xfId="7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49" fontId="4" fillId="3" borderId="5" xfId="7" applyNumberFormat="1" applyFont="1" applyFill="1" applyBorder="1" applyAlignment="1">
      <alignment horizontal="center" vertical="center" wrapText="1"/>
    </xf>
    <xf numFmtId="49" fontId="4" fillId="3" borderId="17" xfId="7" applyNumberFormat="1" applyFont="1" applyFill="1" applyBorder="1" applyAlignment="1">
      <alignment horizontal="center" vertical="center" wrapText="1"/>
    </xf>
    <xf numFmtId="4" fontId="4" fillId="3" borderId="1" xfId="7" applyNumberFormat="1" applyFont="1" applyFill="1" applyBorder="1" applyAlignment="1" applyProtection="1">
      <alignment horizontal="left" vertical="center" indent="1"/>
      <protection locked="0"/>
    </xf>
    <xf numFmtId="4" fontId="4" fillId="3" borderId="9" xfId="7" applyNumberFormat="1" applyFont="1" applyFill="1" applyBorder="1" applyAlignment="1" applyProtection="1">
      <alignment horizontal="left" vertical="center" indent="1"/>
      <protection locked="0"/>
    </xf>
    <xf numFmtId="0" fontId="8" fillId="0" borderId="25" xfId="7" applyFont="1" applyFill="1" applyBorder="1" applyAlignment="1">
      <alignment horizontal="left" vertical="center" wrapText="1"/>
    </xf>
    <xf numFmtId="49" fontId="147" fillId="3" borderId="1" xfId="7" applyNumberFormat="1" applyFont="1" applyFill="1" applyBorder="1" applyAlignment="1" applyProtection="1">
      <alignment horizontal="center" vertical="center" wrapText="1"/>
    </xf>
    <xf numFmtId="49" fontId="147" fillId="3" borderId="1" xfId="7" applyNumberFormat="1" applyFont="1" applyFill="1" applyBorder="1" applyAlignment="1" applyProtection="1">
      <alignment horizontal="center" vertical="center" wrapText="1" readingOrder="1"/>
    </xf>
    <xf numFmtId="180" fontId="128" fillId="3" borderId="1" xfId="7" applyNumberFormat="1" applyFont="1" applyFill="1" applyBorder="1" applyAlignment="1" applyProtection="1">
      <alignment horizontal="center" vertical="center"/>
    </xf>
    <xf numFmtId="0" fontId="4" fillId="3" borderId="1" xfId="7" applyFont="1" applyFill="1" applyBorder="1" applyAlignment="1">
      <alignment horizontal="left" vertical="center" wrapText="1" indent="3"/>
    </xf>
    <xf numFmtId="0" fontId="4" fillId="0" borderId="10" xfId="7" applyFont="1" applyFill="1" applyBorder="1" applyAlignment="1">
      <alignment horizontal="left" vertical="center" wrapText="1"/>
    </xf>
    <xf numFmtId="0" fontId="4" fillId="3" borderId="2" xfId="7" applyFont="1" applyFill="1" applyBorder="1" applyAlignment="1">
      <alignment horizontal="left" vertical="center" wrapText="1" indent="3"/>
    </xf>
    <xf numFmtId="0" fontId="8" fillId="3" borderId="3" xfId="7" applyFont="1" applyFill="1" applyBorder="1" applyAlignment="1">
      <alignment horizontal="left" vertical="center" wrapText="1"/>
    </xf>
    <xf numFmtId="0" fontId="4" fillId="0" borderId="8" xfId="7" applyFont="1" applyFill="1" applyBorder="1" applyAlignment="1">
      <alignment horizontal="left" vertical="center" wrapText="1" indent="3"/>
    </xf>
    <xf numFmtId="0" fontId="4" fillId="0" borderId="6" xfId="7" applyFont="1" applyFill="1" applyBorder="1" applyAlignment="1">
      <alignment horizontal="left" vertical="center" wrapText="1" indent="3"/>
    </xf>
    <xf numFmtId="0" fontId="4" fillId="0" borderId="2" xfId="7" applyFont="1" applyFill="1" applyBorder="1" applyAlignment="1">
      <alignment horizontal="left" vertical="center" wrapText="1" indent="3"/>
    </xf>
    <xf numFmtId="0" fontId="4" fillId="0" borderId="1" xfId="7" applyFont="1" applyFill="1" applyBorder="1" applyAlignment="1">
      <alignment horizontal="left" vertical="center" wrapText="1" indent="3"/>
    </xf>
    <xf numFmtId="0" fontId="91" fillId="3" borderId="1" xfId="7" applyFont="1" applyFill="1" applyBorder="1" applyAlignment="1">
      <alignment horizontal="left" vertical="center" wrapText="1"/>
    </xf>
    <xf numFmtId="0" fontId="4" fillId="3" borderId="6" xfId="7" applyFont="1" applyFill="1" applyBorder="1" applyAlignment="1">
      <alignment horizontal="left" vertical="center" wrapText="1"/>
    </xf>
    <xf numFmtId="0" fontId="18" fillId="3" borderId="14" xfId="7" applyFont="1" applyFill="1" applyBorder="1" applyAlignment="1">
      <alignment horizontal="left" vertical="center" wrapText="1"/>
    </xf>
    <xf numFmtId="0" fontId="18" fillId="3" borderId="3" xfId="7" applyFont="1" applyFill="1" applyBorder="1" applyAlignment="1">
      <alignment horizontal="left" vertical="center" wrapText="1"/>
    </xf>
    <xf numFmtId="0" fontId="7" fillId="3" borderId="1" xfId="7" applyFont="1" applyFill="1" applyBorder="1" applyAlignment="1">
      <alignment horizontal="left" vertical="center" wrapText="1" indent="5"/>
    </xf>
    <xf numFmtId="0" fontId="91" fillId="3" borderId="1" xfId="7" applyFont="1" applyFill="1" applyBorder="1" applyAlignment="1">
      <alignment horizontal="left" vertical="center" wrapText="1" indent="3"/>
    </xf>
    <xf numFmtId="0" fontId="157" fillId="3" borderId="1" xfId="7" applyFont="1" applyFill="1" applyBorder="1" applyAlignment="1">
      <alignment horizontal="left" vertical="center" wrapText="1" indent="2"/>
    </xf>
    <xf numFmtId="0" fontId="102" fillId="3" borderId="16" xfId="7" applyFont="1" applyFill="1" applyBorder="1" applyAlignment="1">
      <alignment horizontal="left" vertical="center" wrapText="1"/>
    </xf>
    <xf numFmtId="0" fontId="102" fillId="3" borderId="0" xfId="7" applyFont="1" applyFill="1" applyBorder="1" applyAlignment="1">
      <alignment horizontal="left" vertical="center"/>
    </xf>
    <xf numFmtId="0" fontId="104" fillId="3" borderId="3" xfId="7" applyFont="1" applyFill="1" applyBorder="1" applyAlignment="1">
      <alignment horizontal="center" vertical="center"/>
    </xf>
    <xf numFmtId="0" fontId="4" fillId="3" borderId="12" xfId="7" applyFont="1" applyFill="1" applyBorder="1" applyAlignment="1">
      <alignment horizontal="left" vertical="center" wrapText="1"/>
    </xf>
    <xf numFmtId="0" fontId="91" fillId="3" borderId="9" xfId="7" applyFont="1" applyFill="1" applyBorder="1" applyAlignment="1">
      <alignment horizontal="left" vertical="center" wrapText="1"/>
    </xf>
    <xf numFmtId="0" fontId="91" fillId="3" borderId="42" xfId="7" applyFont="1" applyFill="1" applyBorder="1" applyAlignment="1">
      <alignment horizontal="left" vertical="center" wrapText="1"/>
    </xf>
    <xf numFmtId="0" fontId="8" fillId="0" borderId="3" xfId="7" applyFont="1" applyFill="1" applyBorder="1" applyAlignment="1">
      <alignment horizontal="left" vertical="center" wrapText="1"/>
    </xf>
    <xf numFmtId="0" fontId="104" fillId="3" borderId="9" xfId="7" applyFont="1" applyFill="1" applyBorder="1" applyAlignment="1">
      <alignment horizontal="center" vertical="center"/>
    </xf>
    <xf numFmtId="0" fontId="104" fillId="3" borderId="52" xfId="7" applyFont="1" applyFill="1" applyBorder="1" applyAlignment="1">
      <alignment horizontal="center" vertical="center"/>
    </xf>
    <xf numFmtId="0" fontId="104" fillId="3" borderId="42" xfId="7" applyFont="1" applyFill="1" applyBorder="1" applyAlignment="1">
      <alignment horizontal="center" vertical="center"/>
    </xf>
    <xf numFmtId="0" fontId="14" fillId="0" borderId="0" xfId="7" applyFont="1" applyFill="1" applyBorder="1" applyAlignment="1" applyProtection="1">
      <alignment horizontal="center" vertical="center"/>
      <protection locked="0"/>
    </xf>
    <xf numFmtId="0" fontId="4" fillId="0" borderId="52" xfId="7" applyFont="1" applyFill="1" applyBorder="1" applyAlignment="1">
      <alignment horizontal="left" vertical="center" wrapText="1"/>
    </xf>
    <xf numFmtId="0" fontId="4" fillId="0" borderId="42" xfId="7" applyFont="1" applyFill="1" applyBorder="1" applyAlignment="1">
      <alignment horizontal="left" vertical="center" wrapText="1"/>
    </xf>
    <xf numFmtId="0" fontId="4" fillId="3" borderId="3" xfId="7" applyFont="1" applyFill="1" applyBorder="1" applyAlignment="1">
      <alignment horizontal="left" vertical="center" wrapText="1"/>
    </xf>
    <xf numFmtId="0" fontId="4" fillId="3" borderId="6" xfId="7" applyFont="1" applyFill="1" applyBorder="1" applyAlignment="1">
      <alignment horizontal="left" vertical="center" wrapText="1" indent="3"/>
    </xf>
    <xf numFmtId="0" fontId="4" fillId="3" borderId="10" xfId="7" applyFont="1" applyFill="1" applyBorder="1" applyAlignment="1">
      <alignment horizontal="left" vertical="center" wrapText="1"/>
    </xf>
    <xf numFmtId="0" fontId="18" fillId="3" borderId="1" xfId="7" applyFont="1" applyFill="1" applyBorder="1" applyAlignment="1">
      <alignment horizontal="left" vertical="center" wrapText="1"/>
    </xf>
    <xf numFmtId="0" fontId="19" fillId="3" borderId="1" xfId="7" applyFont="1" applyFill="1" applyBorder="1" applyAlignment="1">
      <alignment horizontal="center" vertical="center" wrapText="1"/>
    </xf>
    <xf numFmtId="0" fontId="18" fillId="3" borderId="24" xfId="7" applyFont="1" applyFill="1" applyBorder="1" applyAlignment="1">
      <alignment horizontal="left" vertical="center" wrapText="1"/>
    </xf>
    <xf numFmtId="0" fontId="7" fillId="5" borderId="12" xfId="7" applyFont="1" applyFill="1" applyBorder="1" applyAlignment="1">
      <alignment horizontal="left" vertical="center" wrapText="1" indent="8"/>
    </xf>
    <xf numFmtId="0" fontId="92" fillId="3" borderId="12" xfId="7" applyFont="1" applyFill="1" applyBorder="1" applyAlignment="1">
      <alignment horizontal="center" vertical="center" wrapText="1"/>
    </xf>
    <xf numFmtId="0" fontId="8" fillId="3" borderId="12" xfId="7" applyFont="1" applyFill="1" applyBorder="1" applyAlignment="1">
      <alignment horizontal="left" vertical="center"/>
    </xf>
    <xf numFmtId="4" fontId="4" fillId="3" borderId="3" xfId="7" applyNumberFormat="1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left" vertical="center" wrapText="1" indent="2"/>
    </xf>
    <xf numFmtId="0" fontId="7" fillId="5" borderId="1" xfId="7" applyFont="1" applyFill="1" applyBorder="1" applyAlignment="1">
      <alignment horizontal="left" vertical="center" wrapText="1" indent="8"/>
    </xf>
    <xf numFmtId="0" fontId="4" fillId="3" borderId="6" xfId="7" applyFont="1" applyFill="1" applyBorder="1" applyAlignment="1">
      <alignment horizontal="left" vertical="center" wrapText="1" indent="2"/>
    </xf>
    <xf numFmtId="0" fontId="10" fillId="0" borderId="1" xfId="7" applyFont="1" applyFill="1" applyBorder="1" applyAlignment="1">
      <alignment horizontal="left" vertical="center"/>
    </xf>
    <xf numFmtId="0" fontId="104" fillId="0" borderId="9" xfId="0" applyFont="1" applyBorder="1" applyAlignment="1">
      <alignment horizontal="center" vertical="center" wrapText="1"/>
    </xf>
    <xf numFmtId="0" fontId="104" fillId="0" borderId="52" xfId="0" applyFont="1" applyBorder="1" applyAlignment="1">
      <alignment horizontal="center" vertical="center" wrapText="1"/>
    </xf>
    <xf numFmtId="0" fontId="104" fillId="0" borderId="42" xfId="0" applyFont="1" applyBorder="1" applyAlignment="1">
      <alignment horizontal="center" vertical="center" wrapText="1"/>
    </xf>
    <xf numFmtId="0" fontId="4" fillId="3" borderId="1" xfId="7" applyFont="1" applyFill="1" applyBorder="1" applyAlignment="1">
      <alignment horizontal="left" vertical="center" wrapText="1" indent="5"/>
    </xf>
    <xf numFmtId="4" fontId="91" fillId="3" borderId="3" xfId="0" applyNumberFormat="1" applyFont="1" applyFill="1" applyBorder="1" applyAlignment="1">
      <alignment horizontal="center" vertical="center" wrapText="1"/>
    </xf>
    <xf numFmtId="0" fontId="104" fillId="0" borderId="1" xfId="0" applyFont="1" applyBorder="1" applyAlignment="1">
      <alignment horizontal="left" vertical="center" wrapText="1"/>
    </xf>
    <xf numFmtId="0" fontId="4" fillId="3" borderId="0" xfId="7" applyFont="1" applyFill="1" applyBorder="1" applyAlignment="1">
      <alignment horizontal="left" vertical="center" wrapText="1"/>
    </xf>
    <xf numFmtId="4" fontId="91" fillId="3" borderId="14" xfId="0" applyNumberFormat="1" applyFont="1" applyFill="1" applyBorder="1" applyAlignment="1">
      <alignment horizontal="center" vertical="center" wrapText="1"/>
    </xf>
    <xf numFmtId="4" fontId="91" fillId="3" borderId="4" xfId="0" applyNumberFormat="1" applyFont="1" applyFill="1" applyBorder="1" applyAlignment="1">
      <alignment horizontal="center" vertical="center" wrapText="1"/>
    </xf>
    <xf numFmtId="182" fontId="4" fillId="0" borderId="0" xfId="7" applyNumberFormat="1" applyFont="1" applyFill="1" applyBorder="1" applyAlignment="1" applyProtection="1">
      <alignment horizontal="center" vertical="center" wrapText="1"/>
    </xf>
    <xf numFmtId="182" fontId="4" fillId="0" borderId="0" xfId="7" applyNumberFormat="1" applyFont="1" applyFill="1" applyBorder="1" applyAlignment="1" applyProtection="1">
      <alignment horizontal="right" vertical="center" wrapText="1" indent="1"/>
    </xf>
    <xf numFmtId="4" fontId="91" fillId="3" borderId="38" xfId="0" applyNumberFormat="1" applyFont="1" applyFill="1" applyBorder="1" applyAlignment="1">
      <alignment horizontal="center" vertical="center" wrapText="1"/>
    </xf>
    <xf numFmtId="4" fontId="91" fillId="3" borderId="69" xfId="0" applyNumberFormat="1" applyFont="1" applyFill="1" applyBorder="1" applyAlignment="1">
      <alignment horizontal="center" vertical="center" wrapText="1"/>
    </xf>
    <xf numFmtId="0" fontId="8" fillId="3" borderId="0" xfId="7" applyFont="1" applyFill="1" applyBorder="1" applyAlignment="1">
      <alignment horizontal="left" vertical="center"/>
    </xf>
    <xf numFmtId="0" fontId="11" fillId="3" borderId="68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>
      <alignment horizontal="center" vertical="center" wrapText="1"/>
    </xf>
    <xf numFmtId="0" fontId="91" fillId="0" borderId="1" xfId="0" applyFont="1" applyBorder="1" applyAlignment="1" applyProtection="1">
      <alignment horizontal="center"/>
    </xf>
    <xf numFmtId="4" fontId="91" fillId="3" borderId="69" xfId="0" applyNumberFormat="1" applyFont="1" applyFill="1" applyBorder="1" applyAlignment="1" applyProtection="1">
      <alignment horizontal="center"/>
    </xf>
    <xf numFmtId="4" fontId="91" fillId="3" borderId="56" xfId="0" applyNumberFormat="1" applyFont="1" applyFill="1" applyBorder="1" applyAlignment="1" applyProtection="1">
      <alignment horizontal="center"/>
    </xf>
    <xf numFmtId="0" fontId="91" fillId="0" borderId="42" xfId="0" applyFont="1" applyBorder="1" applyAlignment="1" applyProtection="1">
      <alignment horizontal="center"/>
    </xf>
    <xf numFmtId="0" fontId="91" fillId="0" borderId="5" xfId="0" applyFont="1" applyBorder="1" applyAlignment="1" applyProtection="1">
      <alignment horizontal="center"/>
    </xf>
    <xf numFmtId="182" fontId="4" fillId="3" borderId="0" xfId="7" applyNumberFormat="1" applyFont="1" applyFill="1" applyBorder="1" applyAlignment="1" applyProtection="1">
      <alignment horizontal="center" vertical="center" wrapText="1"/>
    </xf>
    <xf numFmtId="0" fontId="4" fillId="3" borderId="65" xfId="7" applyFont="1" applyFill="1" applyBorder="1" applyAlignment="1">
      <alignment horizontal="center" vertical="center" wrapText="1"/>
    </xf>
    <xf numFmtId="0" fontId="4" fillId="3" borderId="67" xfId="7" applyFont="1" applyFill="1" applyBorder="1" applyAlignment="1">
      <alignment horizontal="center" vertical="center" wrapText="1"/>
    </xf>
    <xf numFmtId="182" fontId="4" fillId="5" borderId="66" xfId="7" applyNumberFormat="1" applyFont="1" applyFill="1" applyBorder="1" applyAlignment="1" applyProtection="1">
      <alignment horizontal="center" vertical="center" wrapText="1"/>
    </xf>
    <xf numFmtId="182" fontId="4" fillId="5" borderId="67" xfId="7" applyNumberFormat="1" applyFont="1" applyFill="1" applyBorder="1" applyAlignment="1" applyProtection="1">
      <alignment horizontal="center" vertical="center" wrapText="1"/>
    </xf>
    <xf numFmtId="4" fontId="4" fillId="3" borderId="0" xfId="7" applyNumberFormat="1" applyFont="1" applyFill="1" applyBorder="1" applyAlignment="1">
      <alignment horizontal="center" vertical="center"/>
    </xf>
    <xf numFmtId="182" fontId="4" fillId="0" borderId="24" xfId="7" applyNumberFormat="1" applyFont="1" applyFill="1" applyBorder="1" applyAlignment="1" applyProtection="1">
      <alignment horizontal="center" vertical="center" wrapText="1"/>
    </xf>
    <xf numFmtId="182" fontId="4" fillId="0" borderId="27" xfId="7" applyNumberFormat="1" applyFont="1" applyFill="1" applyBorder="1" applyAlignment="1" applyProtection="1">
      <alignment horizontal="center" vertical="center" wrapText="1"/>
    </xf>
    <xf numFmtId="182" fontId="4" fillId="0" borderId="10" xfId="7" applyNumberFormat="1" applyFont="1" applyFill="1" applyBorder="1" applyAlignment="1" applyProtection="1">
      <alignment horizontal="center" vertical="center" wrapText="1"/>
    </xf>
    <xf numFmtId="182" fontId="4" fillId="5" borderId="13" xfId="7" applyNumberFormat="1" applyFont="1" applyFill="1" applyBorder="1" applyAlignment="1" applyProtection="1">
      <alignment horizontal="center" vertical="center" wrapText="1"/>
    </xf>
    <xf numFmtId="182" fontId="4" fillId="5" borderId="26" xfId="7" applyNumberFormat="1" applyFont="1" applyFill="1" applyBorder="1" applyAlignment="1" applyProtection="1">
      <alignment horizontal="center" vertical="center" wrapText="1"/>
    </xf>
    <xf numFmtId="182" fontId="4" fillId="5" borderId="47" xfId="7" applyNumberFormat="1" applyFont="1" applyFill="1" applyBorder="1" applyAlignment="1" applyProtection="1">
      <alignment horizontal="center" vertical="center" wrapText="1"/>
    </xf>
    <xf numFmtId="182" fontId="4" fillId="5" borderId="49" xfId="7" applyNumberFormat="1" applyFont="1" applyFill="1" applyBorder="1" applyAlignment="1" applyProtection="1">
      <alignment horizontal="center" vertical="center" wrapText="1"/>
    </xf>
    <xf numFmtId="182" fontId="4" fillId="5" borderId="30" xfId="7" applyNumberFormat="1" applyFont="1" applyFill="1" applyBorder="1" applyAlignment="1" applyProtection="1">
      <alignment horizontal="center" vertical="center" wrapText="1"/>
    </xf>
    <xf numFmtId="182" fontId="4" fillId="5" borderId="58" xfId="7" applyNumberFormat="1" applyFont="1" applyFill="1" applyBorder="1" applyAlignment="1" applyProtection="1">
      <alignment horizontal="center" vertical="center" wrapText="1"/>
    </xf>
    <xf numFmtId="0" fontId="4" fillId="3" borderId="68" xfId="7" applyFont="1" applyFill="1" applyBorder="1" applyAlignment="1">
      <alignment horizontal="center" vertical="center"/>
    </xf>
    <xf numFmtId="0" fontId="4" fillId="3" borderId="56" xfId="7" applyFont="1" applyFill="1" applyBorder="1" applyAlignment="1">
      <alignment horizontal="center" vertical="center"/>
    </xf>
    <xf numFmtId="0" fontId="4" fillId="3" borderId="69" xfId="7" applyFont="1" applyFill="1" applyBorder="1" applyAlignment="1">
      <alignment horizontal="center" vertical="center"/>
    </xf>
    <xf numFmtId="0" fontId="7" fillId="5" borderId="1" xfId="7" applyFont="1" applyFill="1" applyBorder="1" applyAlignment="1">
      <alignment horizontal="left" vertical="center" wrapText="1" indent="5"/>
    </xf>
    <xf numFmtId="0" fontId="91" fillId="0" borderId="0" xfId="7" applyFont="1" applyFill="1" applyBorder="1" applyAlignment="1" applyProtection="1">
      <alignment horizontal="center" vertical="center" wrapText="1"/>
    </xf>
    <xf numFmtId="182" fontId="4" fillId="0" borderId="14" xfId="7" applyNumberFormat="1" applyFont="1" applyFill="1" applyBorder="1" applyAlignment="1" applyProtection="1">
      <alignment horizontal="center" vertical="center" wrapText="1"/>
    </xf>
    <xf numFmtId="182" fontId="4" fillId="0" borderId="2" xfId="7" applyNumberFormat="1" applyFont="1" applyFill="1" applyBorder="1" applyAlignment="1" applyProtection="1">
      <alignment horizontal="center" vertical="center" wrapText="1"/>
    </xf>
    <xf numFmtId="182" fontId="4" fillId="0" borderId="13" xfId="7" applyNumberFormat="1" applyFont="1" applyFill="1" applyBorder="1" applyAlignment="1" applyProtection="1">
      <alignment horizontal="center" vertical="center" wrapText="1"/>
    </xf>
    <xf numFmtId="182" fontId="4" fillId="0" borderId="26" xfId="7" applyNumberFormat="1" applyFont="1" applyFill="1" applyBorder="1" applyAlignment="1" applyProtection="1">
      <alignment horizontal="center" vertical="center" wrapText="1"/>
    </xf>
    <xf numFmtId="182" fontId="4" fillId="0" borderId="47" xfId="7" applyNumberFormat="1" applyFont="1" applyFill="1" applyBorder="1" applyAlignment="1" applyProtection="1">
      <alignment horizontal="center" vertical="center" wrapText="1"/>
    </xf>
    <xf numFmtId="182" fontId="4" fillId="0" borderId="17" xfId="7" applyNumberFormat="1" applyFont="1" applyFill="1" applyBorder="1" applyAlignment="1" applyProtection="1">
      <alignment horizontal="center" vertical="center" wrapText="1"/>
    </xf>
    <xf numFmtId="182" fontId="4" fillId="0" borderId="30" xfId="7" applyNumberFormat="1" applyFont="1" applyFill="1" applyBorder="1" applyAlignment="1" applyProtection="1">
      <alignment horizontal="center" vertical="center" wrapText="1"/>
    </xf>
    <xf numFmtId="182" fontId="4" fillId="0" borderId="58" xfId="7" applyNumberFormat="1" applyFont="1" applyFill="1" applyBorder="1" applyAlignment="1" applyProtection="1">
      <alignment horizontal="center" vertical="center" wrapText="1"/>
    </xf>
    <xf numFmtId="182" fontId="4" fillId="0" borderId="20" xfId="7" applyNumberFormat="1" applyFont="1" applyFill="1" applyBorder="1" applyAlignment="1" applyProtection="1">
      <alignment horizontal="center" vertical="center" wrapText="1"/>
    </xf>
    <xf numFmtId="182" fontId="4" fillId="0" borderId="11" xfId="7" applyNumberFormat="1" applyFont="1" applyFill="1" applyBorder="1" applyAlignment="1" applyProtection="1">
      <alignment horizontal="center" vertical="center" wrapText="1"/>
    </xf>
    <xf numFmtId="0" fontId="10" fillId="0" borderId="2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16" fontId="4" fillId="3" borderId="1" xfId="7" applyNumberFormat="1" applyFont="1" applyFill="1" applyBorder="1" applyAlignment="1">
      <alignment horizontal="left" wrapText="1" indent="2"/>
    </xf>
    <xf numFmtId="0" fontId="45" fillId="0" borderId="9" xfId="7" applyFont="1" applyFill="1" applyBorder="1" applyAlignment="1">
      <alignment horizontal="center" vertical="center"/>
    </xf>
    <xf numFmtId="0" fontId="45" fillId="0" borderId="52" xfId="7" applyFont="1" applyFill="1" applyBorder="1" applyAlignment="1">
      <alignment horizontal="center" vertical="center"/>
    </xf>
    <xf numFmtId="0" fontId="45" fillId="0" borderId="42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left" vertical="center" wrapText="1"/>
    </xf>
    <xf numFmtId="0" fontId="4" fillId="0" borderId="3" xfId="7" applyFont="1" applyFill="1" applyBorder="1" applyAlignment="1">
      <alignment horizontal="center" vertical="center"/>
    </xf>
    <xf numFmtId="0" fontId="87" fillId="0" borderId="1" xfId="0" applyFont="1" applyBorder="1" applyAlignment="1">
      <alignment horizontal="center" vertical="center" wrapText="1"/>
    </xf>
    <xf numFmtId="0" fontId="10" fillId="14" borderId="1" xfId="7" applyFont="1" applyFill="1" applyBorder="1" applyAlignment="1">
      <alignment horizontal="center" vertical="center" wrapText="1"/>
    </xf>
    <xf numFmtId="182" fontId="4" fillId="0" borderId="12" xfId="7" applyNumberFormat="1" applyFont="1" applyFill="1" applyBorder="1" applyAlignment="1" applyProtection="1">
      <alignment horizontal="center" vertical="center" wrapText="1"/>
    </xf>
    <xf numFmtId="182" fontId="4" fillId="0" borderId="5" xfId="7" applyNumberFormat="1" applyFont="1" applyFill="1" applyBorder="1" applyAlignment="1" applyProtection="1">
      <alignment horizontal="center" vertical="center" wrapText="1"/>
    </xf>
    <xf numFmtId="4" fontId="98" fillId="3" borderId="0" xfId="0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center" vertical="center" wrapText="1"/>
    </xf>
    <xf numFmtId="0" fontId="91" fillId="0" borderId="14" xfId="7" applyFont="1" applyFill="1" applyBorder="1" applyAlignment="1" applyProtection="1">
      <alignment horizontal="center" vertical="center" wrapText="1"/>
    </xf>
    <xf numFmtId="0" fontId="91" fillId="0" borderId="3" xfId="7" applyFont="1" applyFill="1" applyBorder="1" applyAlignment="1" applyProtection="1">
      <alignment horizontal="center" vertical="center" wrapText="1"/>
    </xf>
    <xf numFmtId="0" fontId="91" fillId="0" borderId="4" xfId="7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3" borderId="38" xfId="7" applyFont="1" applyFill="1" applyBorder="1" applyAlignment="1">
      <alignment horizontal="center" vertical="center" wrapText="1"/>
    </xf>
    <xf numFmtId="0" fontId="10" fillId="3" borderId="36" xfId="7" applyFont="1" applyFill="1" applyBorder="1" applyAlignment="1">
      <alignment horizontal="center" vertical="center" wrapText="1"/>
    </xf>
    <xf numFmtId="0" fontId="4" fillId="0" borderId="62" xfId="7" applyFont="1" applyFill="1" applyBorder="1" applyAlignment="1" applyProtection="1">
      <alignment horizontal="left" vertical="center" wrapText="1"/>
      <protection locked="0"/>
    </xf>
    <xf numFmtId="0" fontId="10" fillId="0" borderId="9" xfId="7" applyFont="1" applyFill="1" applyBorder="1" applyAlignment="1">
      <alignment horizontal="center" vertical="center"/>
    </xf>
    <xf numFmtId="0" fontId="10" fillId="0" borderId="52" xfId="7" applyFont="1" applyFill="1" applyBorder="1" applyAlignment="1">
      <alignment horizontal="center" vertical="center"/>
    </xf>
    <xf numFmtId="0" fontId="28" fillId="3" borderId="0" xfId="7" applyFont="1" applyFill="1" applyBorder="1" applyAlignment="1">
      <alignment horizontal="left" vertical="center" wrapText="1"/>
    </xf>
    <xf numFmtId="49" fontId="4" fillId="3" borderId="49" xfId="7" applyNumberFormat="1" applyFont="1" applyFill="1" applyBorder="1" applyAlignment="1">
      <alignment horizontal="center" vertical="center" wrapText="1"/>
    </xf>
    <xf numFmtId="49" fontId="4" fillId="3" borderId="51" xfId="7" applyNumberFormat="1" applyFont="1" applyFill="1" applyBorder="1" applyAlignment="1">
      <alignment horizontal="center" vertical="center" wrapText="1"/>
    </xf>
    <xf numFmtId="49" fontId="4" fillId="3" borderId="28" xfId="7" applyNumberFormat="1" applyFont="1" applyFill="1" applyBorder="1" applyAlignment="1">
      <alignment horizontal="center" vertical="center" wrapText="1"/>
    </xf>
    <xf numFmtId="49" fontId="4" fillId="3" borderId="29" xfId="7" applyNumberFormat="1" applyFont="1" applyFill="1" applyBorder="1" applyAlignment="1">
      <alignment horizontal="center" vertical="center" wrapText="1"/>
    </xf>
    <xf numFmtId="49" fontId="4" fillId="3" borderId="25" xfId="7" applyNumberFormat="1" applyFont="1" applyFill="1" applyBorder="1" applyAlignment="1">
      <alignment horizontal="center" vertical="center" wrapText="1"/>
    </xf>
    <xf numFmtId="49" fontId="4" fillId="3" borderId="41" xfId="7" applyNumberFormat="1" applyFont="1" applyFill="1" applyBorder="1" applyAlignment="1">
      <alignment horizontal="center" vertical="center" wrapText="1"/>
    </xf>
    <xf numFmtId="49" fontId="14" fillId="3" borderId="1" xfId="7" applyNumberFormat="1" applyFont="1" applyFill="1" applyBorder="1" applyAlignment="1">
      <alignment horizontal="center" vertical="center" wrapText="1"/>
    </xf>
    <xf numFmtId="0" fontId="10" fillId="0" borderId="39" xfId="7" applyFont="1" applyFill="1" applyBorder="1" applyAlignment="1">
      <alignment horizontal="center" vertical="center"/>
    </xf>
    <xf numFmtId="0" fontId="10" fillId="0" borderId="21" xfId="7" applyFont="1" applyFill="1" applyBorder="1" applyAlignment="1">
      <alignment horizontal="center" vertical="center"/>
    </xf>
    <xf numFmtId="0" fontId="10" fillId="0" borderId="37" xfId="7" applyFont="1" applyFill="1" applyBorder="1" applyAlignment="1">
      <alignment horizontal="center" vertical="center"/>
    </xf>
    <xf numFmtId="0" fontId="10" fillId="0" borderId="25" xfId="7" applyFont="1" applyFill="1" applyBorder="1" applyAlignment="1">
      <alignment horizontal="center" vertical="center"/>
    </xf>
    <xf numFmtId="0" fontId="10" fillId="0" borderId="62" xfId="7" applyFont="1" applyFill="1" applyBorder="1" applyAlignment="1">
      <alignment horizontal="center" vertical="center"/>
    </xf>
    <xf numFmtId="0" fontId="10" fillId="0" borderId="41" xfId="7" applyFont="1" applyFill="1" applyBorder="1" applyAlignment="1">
      <alignment horizontal="center" vertical="center"/>
    </xf>
    <xf numFmtId="0" fontId="10" fillId="0" borderId="6" xfId="7" applyFont="1" applyFill="1" applyBorder="1" applyAlignment="1">
      <alignment horizontal="left" vertical="center" wrapText="1" indent="2"/>
    </xf>
    <xf numFmtId="0" fontId="10" fillId="3" borderId="1" xfId="7" applyFont="1" applyFill="1" applyBorder="1" applyAlignment="1">
      <alignment horizontal="left" vertical="center" wrapText="1"/>
    </xf>
    <xf numFmtId="0" fontId="9" fillId="3" borderId="0" xfId="7" applyFont="1" applyFill="1" applyBorder="1" applyAlignment="1">
      <alignment horizontal="left" vertical="center"/>
    </xf>
    <xf numFmtId="0" fontId="9" fillId="3" borderId="1" xfId="7" applyFont="1" applyFill="1" applyBorder="1" applyAlignment="1">
      <alignment horizontal="left" vertical="center" wrapText="1"/>
    </xf>
    <xf numFmtId="0" fontId="23" fillId="3" borderId="0" xfId="5" applyFont="1" applyFill="1" applyBorder="1" applyAlignment="1">
      <alignment horizontal="left" vertical="center"/>
    </xf>
    <xf numFmtId="0" fontId="10" fillId="0" borderId="1" xfId="7" applyFont="1" applyFill="1" applyBorder="1" applyAlignment="1">
      <alignment horizontal="left" vertical="center" wrapText="1" indent="2"/>
    </xf>
    <xf numFmtId="4" fontId="91" fillId="3" borderId="1" xfId="0" applyNumberFormat="1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right" vertical="center"/>
    </xf>
    <xf numFmtId="0" fontId="4" fillId="0" borderId="3" xfId="7" applyFont="1" applyFill="1" applyBorder="1" applyAlignment="1">
      <alignment horizontal="center" vertical="center" wrapText="1"/>
    </xf>
    <xf numFmtId="0" fontId="158" fillId="0" borderId="0" xfId="7" applyFont="1" applyFill="1" applyBorder="1" applyAlignment="1">
      <alignment horizontal="center" vertical="center"/>
    </xf>
    <xf numFmtId="0" fontId="14" fillId="3" borderId="0" xfId="7" applyFont="1" applyFill="1" applyBorder="1" applyAlignment="1">
      <alignment horizontal="center" vertical="center" wrapText="1"/>
    </xf>
    <xf numFmtId="16" fontId="23" fillId="3" borderId="0" xfId="7" applyNumberFormat="1" applyFont="1" applyFill="1" applyBorder="1" applyAlignment="1">
      <alignment horizontal="left" vertical="center" wrapText="1"/>
    </xf>
    <xf numFmtId="0" fontId="23" fillId="3" borderId="0" xfId="7" applyFont="1" applyFill="1" applyBorder="1" applyAlignment="1">
      <alignment horizontal="left" vertical="center"/>
    </xf>
    <xf numFmtId="0" fontId="4" fillId="0" borderId="51" xfId="7" applyFont="1" applyFill="1" applyBorder="1" applyAlignment="1" applyProtection="1">
      <alignment horizontal="center" vertical="center" wrapText="1"/>
    </xf>
    <xf numFmtId="0" fontId="4" fillId="0" borderId="75" xfId="7" applyFont="1" applyFill="1" applyBorder="1" applyAlignment="1" applyProtection="1">
      <alignment horizontal="center" vertical="center" wrapText="1"/>
    </xf>
    <xf numFmtId="0" fontId="98" fillId="0" borderId="0" xfId="7" applyFont="1" applyFill="1" applyBorder="1" applyAlignment="1">
      <alignment horizontal="center" vertical="center" wrapText="1"/>
    </xf>
    <xf numFmtId="0" fontId="4" fillId="0" borderId="69" xfId="7" applyFont="1" applyFill="1" applyBorder="1" applyAlignment="1" applyProtection="1">
      <alignment horizontal="center" vertical="center" wrapText="1"/>
    </xf>
    <xf numFmtId="0" fontId="4" fillId="0" borderId="5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horizontal="center" vertical="center"/>
    </xf>
    <xf numFmtId="0" fontId="4" fillId="0" borderId="57" xfId="7" applyFont="1" applyFill="1" applyBorder="1" applyAlignment="1" applyProtection="1">
      <alignment horizontal="center" vertical="center"/>
    </xf>
    <xf numFmtId="0" fontId="4" fillId="14" borderId="22" xfId="7" applyFont="1" applyFill="1" applyBorder="1" applyAlignment="1" applyProtection="1">
      <alignment horizontal="center" vertical="center"/>
    </xf>
    <xf numFmtId="0" fontId="4" fillId="14" borderId="59" xfId="7" applyFont="1" applyFill="1" applyBorder="1" applyAlignment="1" applyProtection="1">
      <alignment horizontal="center" vertical="center"/>
    </xf>
    <xf numFmtId="4" fontId="91" fillId="14" borderId="38" xfId="0" applyNumberFormat="1" applyFont="1" applyFill="1" applyBorder="1" applyAlignment="1">
      <alignment horizontal="center" vertical="center" wrapText="1"/>
    </xf>
    <xf numFmtId="4" fontId="91" fillId="14" borderId="56" xfId="0" applyNumberFormat="1" applyFont="1" applyFill="1" applyBorder="1" applyAlignment="1">
      <alignment horizontal="center" vertical="center" wrapText="1"/>
    </xf>
    <xf numFmtId="0" fontId="10" fillId="3" borderId="3" xfId="7" applyFont="1" applyFill="1" applyBorder="1" applyAlignment="1">
      <alignment horizontal="center" vertical="center" wrapText="1"/>
    </xf>
    <xf numFmtId="0" fontId="10" fillId="3" borderId="4" xfId="7" applyFont="1" applyFill="1" applyBorder="1" applyAlignment="1">
      <alignment horizontal="center" vertical="center" wrapText="1"/>
    </xf>
    <xf numFmtId="0" fontId="10" fillId="0" borderId="53" xfId="7" applyFont="1" applyFill="1" applyBorder="1" applyAlignment="1">
      <alignment horizontal="center" vertical="center"/>
    </xf>
    <xf numFmtId="0" fontId="10" fillId="0" borderId="74" xfId="7" applyFont="1" applyFill="1" applyBorder="1" applyAlignment="1">
      <alignment horizontal="center" vertical="center"/>
    </xf>
    <xf numFmtId="0" fontId="14" fillId="3" borderId="1" xfId="7" applyFont="1" applyFill="1" applyBorder="1" applyAlignment="1">
      <alignment horizontal="center" vertical="center" wrapText="1"/>
    </xf>
    <xf numFmtId="0" fontId="14" fillId="3" borderId="1" xfId="7" applyFont="1" applyFill="1" applyBorder="1" applyAlignment="1">
      <alignment horizontal="center" vertical="center"/>
    </xf>
    <xf numFmtId="0" fontId="28" fillId="3" borderId="9" xfId="7" applyFont="1" applyFill="1" applyBorder="1" applyAlignment="1">
      <alignment horizontal="center" vertical="center" wrapText="1"/>
    </xf>
    <xf numFmtId="0" fontId="28" fillId="3" borderId="52" xfId="7" applyFont="1" applyFill="1" applyBorder="1" applyAlignment="1">
      <alignment horizontal="center" vertical="center" wrapText="1"/>
    </xf>
    <xf numFmtId="0" fontId="28" fillId="3" borderId="42" xfId="7" applyFont="1" applyFill="1" applyBorder="1" applyAlignment="1">
      <alignment horizontal="center" vertical="center" wrapText="1"/>
    </xf>
    <xf numFmtId="0" fontId="14" fillId="0" borderId="14" xfId="7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182" fontId="4" fillId="0" borderId="1" xfId="7" applyNumberFormat="1" applyFont="1" applyFill="1" applyBorder="1" applyAlignment="1" applyProtection="1">
      <alignment horizontal="center" vertical="center" wrapText="1"/>
    </xf>
    <xf numFmtId="0" fontId="106" fillId="8" borderId="2" xfId="0" applyFont="1" applyFill="1" applyBorder="1" applyAlignment="1">
      <alignment horizontal="left" wrapText="1"/>
    </xf>
    <xf numFmtId="0" fontId="106" fillId="8" borderId="1" xfId="0" applyFont="1" applyFill="1" applyBorder="1" applyAlignment="1">
      <alignment horizontal="left" wrapText="1"/>
    </xf>
    <xf numFmtId="0" fontId="91" fillId="0" borderId="2" xfId="0" applyFont="1" applyFill="1" applyBorder="1" applyAlignment="1">
      <alignment horizontal="left" wrapText="1"/>
    </xf>
    <xf numFmtId="0" fontId="91" fillId="0" borderId="1" xfId="0" applyFont="1" applyFill="1" applyBorder="1" applyAlignment="1">
      <alignment horizontal="left" wrapText="1"/>
    </xf>
    <xf numFmtId="0" fontId="89" fillId="0" borderId="14" xfId="0" applyFont="1" applyBorder="1" applyAlignment="1">
      <alignment horizontal="center" vertical="center"/>
    </xf>
    <xf numFmtId="0" fontId="89" fillId="0" borderId="3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/>
    </xf>
    <xf numFmtId="0" fontId="91" fillId="0" borderId="52" xfId="0" applyFont="1" applyBorder="1" applyAlignment="1">
      <alignment horizontal="center"/>
    </xf>
    <xf numFmtId="0" fontId="91" fillId="0" borderId="42" xfId="0" applyFont="1" applyBorder="1" applyAlignment="1">
      <alignment horizontal="center"/>
    </xf>
    <xf numFmtId="0" fontId="89" fillId="0" borderId="2" xfId="0" applyFont="1" applyBorder="1" applyAlignment="1">
      <alignment horizontal="left" wrapText="1"/>
    </xf>
    <xf numFmtId="0" fontId="89" fillId="0" borderId="1" xfId="0" applyFont="1" applyBorder="1" applyAlignment="1">
      <alignment horizontal="left" wrapText="1"/>
    </xf>
    <xf numFmtId="0" fontId="91" fillId="3" borderId="2" xfId="0" applyFont="1" applyFill="1" applyBorder="1" applyAlignment="1">
      <alignment horizontal="left" wrapText="1"/>
    </xf>
    <xf numFmtId="0" fontId="91" fillId="3" borderId="1" xfId="0" applyFont="1" applyFill="1" applyBorder="1" applyAlignment="1">
      <alignment horizontal="left" wrapText="1"/>
    </xf>
    <xf numFmtId="0" fontId="92" fillId="14" borderId="31" xfId="0" applyFont="1" applyFill="1" applyBorder="1" applyAlignment="1">
      <alignment horizontal="left" wrapText="1" indent="2"/>
    </xf>
    <xf numFmtId="0" fontId="92" fillId="14" borderId="52" xfId="0" applyFont="1" applyFill="1" applyBorder="1" applyAlignment="1">
      <alignment horizontal="left" wrapText="1" indent="2"/>
    </xf>
    <xf numFmtId="0" fontId="92" fillId="14" borderId="42" xfId="0" applyFont="1" applyFill="1" applyBorder="1" applyAlignment="1">
      <alignment horizontal="left" wrapText="1" indent="2"/>
    </xf>
    <xf numFmtId="0" fontId="131" fillId="3" borderId="0" xfId="0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 applyProtection="1">
      <alignment horizontal="center" vertical="center" wrapText="1"/>
    </xf>
    <xf numFmtId="1" fontId="14" fillId="3" borderId="45" xfId="0" applyNumberFormat="1" applyFont="1" applyFill="1" applyBorder="1" applyAlignment="1" applyProtection="1">
      <alignment horizontal="center" vertical="center" wrapText="1"/>
    </xf>
    <xf numFmtId="1" fontId="14" fillId="3" borderId="62" xfId="0" applyNumberFormat="1" applyFont="1" applyFill="1" applyBorder="1" applyAlignment="1" applyProtection="1">
      <alignment horizontal="center" vertical="center" wrapText="1"/>
    </xf>
    <xf numFmtId="1" fontId="14" fillId="3" borderId="64" xfId="0" applyNumberFormat="1" applyFont="1" applyFill="1" applyBorder="1" applyAlignment="1" applyProtection="1">
      <alignment horizontal="center" vertical="center" wrapText="1"/>
    </xf>
    <xf numFmtId="1" fontId="14" fillId="3" borderId="76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92" fillId="3" borderId="2" xfId="0" applyFont="1" applyFill="1" applyBorder="1" applyAlignment="1">
      <alignment horizontal="left" wrapText="1" indent="4"/>
    </xf>
    <xf numFmtId="0" fontId="92" fillId="3" borderId="1" xfId="0" applyFont="1" applyFill="1" applyBorder="1" applyAlignment="1">
      <alignment horizontal="left" wrapText="1" indent="4"/>
    </xf>
    <xf numFmtId="0" fontId="92" fillId="14" borderId="31" xfId="0" applyFont="1" applyFill="1" applyBorder="1" applyAlignment="1">
      <alignment horizontal="left" wrapText="1" indent="4"/>
    </xf>
    <xf numFmtId="0" fontId="92" fillId="14" borderId="52" xfId="0" applyFont="1" applyFill="1" applyBorder="1" applyAlignment="1">
      <alignment horizontal="left" wrapText="1" indent="4"/>
    </xf>
    <xf numFmtId="0" fontId="92" fillId="14" borderId="42" xfId="0" applyFont="1" applyFill="1" applyBorder="1" applyAlignment="1">
      <alignment horizontal="left" wrapText="1" indent="4"/>
    </xf>
    <xf numFmtId="0" fontId="89" fillId="0" borderId="18" xfId="0" applyFont="1" applyBorder="1" applyAlignment="1">
      <alignment horizontal="left" wrapText="1"/>
    </xf>
    <xf numFmtId="0" fontId="89" fillId="0" borderId="10" xfId="0" applyFont="1" applyBorder="1" applyAlignment="1">
      <alignment horizontal="left" wrapText="1"/>
    </xf>
    <xf numFmtId="182" fontId="6" fillId="5" borderId="77" xfId="0" applyNumberFormat="1" applyFont="1" applyFill="1" applyBorder="1" applyAlignment="1">
      <alignment horizontal="left" vertical="center"/>
    </xf>
    <xf numFmtId="182" fontId="6" fillId="5" borderId="76" xfId="0" applyNumberFormat="1" applyFont="1" applyFill="1" applyBorder="1" applyAlignment="1">
      <alignment horizontal="left" vertical="center"/>
    </xf>
    <xf numFmtId="182" fontId="6" fillId="5" borderId="43" xfId="0" applyNumberFormat="1" applyFont="1" applyFill="1" applyBorder="1" applyAlignment="1">
      <alignment horizontal="left" vertical="center"/>
    </xf>
    <xf numFmtId="0" fontId="4" fillId="0" borderId="15" xfId="7" applyFont="1" applyFill="1" applyBorder="1" applyAlignment="1">
      <alignment horizontal="center" vertical="center" wrapText="1"/>
    </xf>
    <xf numFmtId="0" fontId="4" fillId="0" borderId="16" xfId="7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left" wrapText="1"/>
    </xf>
    <xf numFmtId="0" fontId="89" fillId="0" borderId="16" xfId="0" applyFont="1" applyBorder="1" applyAlignment="1">
      <alignment horizontal="left" wrapText="1"/>
    </xf>
    <xf numFmtId="0" fontId="92" fillId="14" borderId="31" xfId="0" applyFont="1" applyFill="1" applyBorder="1" applyAlignment="1">
      <alignment horizontal="left" vertical="center" wrapText="1" indent="2"/>
    </xf>
    <xf numFmtId="0" fontId="92" fillId="14" borderId="52" xfId="0" applyFont="1" applyFill="1" applyBorder="1" applyAlignment="1">
      <alignment horizontal="left" vertical="center" wrapText="1" indent="2"/>
    </xf>
    <xf numFmtId="0" fontId="92" fillId="14" borderId="42" xfId="0" applyFont="1" applyFill="1" applyBorder="1" applyAlignment="1">
      <alignment horizontal="left" vertical="center" wrapText="1" indent="2"/>
    </xf>
    <xf numFmtId="0" fontId="91" fillId="5" borderId="2" xfId="0" applyFont="1" applyFill="1" applyBorder="1" applyAlignment="1">
      <alignment horizontal="left" wrapText="1"/>
    </xf>
    <xf numFmtId="0" fontId="91" fillId="5" borderId="1" xfId="0" applyFont="1" applyFill="1" applyBorder="1" applyAlignment="1">
      <alignment horizontal="left" wrapText="1"/>
    </xf>
    <xf numFmtId="0" fontId="92" fillId="0" borderId="2" xfId="0" applyFont="1" applyFill="1" applyBorder="1" applyAlignment="1">
      <alignment horizontal="left" wrapText="1"/>
    </xf>
    <xf numFmtId="0" fontId="92" fillId="0" borderId="1" xfId="0" applyFont="1" applyFill="1" applyBorder="1" applyAlignment="1">
      <alignment horizontal="left" wrapText="1"/>
    </xf>
    <xf numFmtId="0" fontId="85" fillId="0" borderId="21" xfId="7" applyFont="1" applyFill="1" applyBorder="1" applyAlignment="1">
      <alignment horizontal="center" vertical="center"/>
    </xf>
    <xf numFmtId="0" fontId="91" fillId="3" borderId="31" xfId="0" applyFont="1" applyFill="1" applyBorder="1" applyAlignment="1">
      <alignment horizontal="left" wrapText="1"/>
    </xf>
    <xf numFmtId="0" fontId="91" fillId="3" borderId="52" xfId="0" applyFont="1" applyFill="1" applyBorder="1" applyAlignment="1">
      <alignment horizontal="left" wrapText="1"/>
    </xf>
    <xf numFmtId="0" fontId="91" fillId="3" borderId="42" xfId="0" applyFont="1" applyFill="1" applyBorder="1" applyAlignment="1">
      <alignment horizontal="left" wrapText="1"/>
    </xf>
    <xf numFmtId="0" fontId="92" fillId="0" borderId="2" xfId="0" applyFont="1" applyFill="1" applyBorder="1" applyAlignment="1">
      <alignment horizontal="left" wrapText="1" indent="1"/>
    </xf>
    <xf numFmtId="0" fontId="92" fillId="0" borderId="1" xfId="0" applyFont="1" applyFill="1" applyBorder="1" applyAlignment="1">
      <alignment horizontal="left" wrapText="1" indent="1"/>
    </xf>
    <xf numFmtId="0" fontId="106" fillId="3" borderId="2" xfId="0" applyFont="1" applyFill="1" applyBorder="1" applyAlignment="1">
      <alignment horizontal="left" wrapText="1"/>
    </xf>
    <xf numFmtId="0" fontId="106" fillId="3" borderId="1" xfId="0" applyFont="1" applyFill="1" applyBorder="1" applyAlignment="1">
      <alignment horizontal="left" wrapText="1"/>
    </xf>
    <xf numFmtId="0" fontId="91" fillId="29" borderId="9" xfId="0" applyFont="1" applyFill="1" applyBorder="1" applyAlignment="1">
      <alignment horizontal="center"/>
    </xf>
    <xf numFmtId="0" fontId="91" fillId="29" borderId="42" xfId="0" applyFont="1" applyFill="1" applyBorder="1" applyAlignment="1">
      <alignment horizontal="center"/>
    </xf>
    <xf numFmtId="0" fontId="127" fillId="3" borderId="0" xfId="0" applyFont="1" applyFill="1" applyBorder="1" applyAlignment="1">
      <alignment horizontal="center" vertical="center" wrapText="1"/>
    </xf>
    <xf numFmtId="0" fontId="159" fillId="0" borderId="0" xfId="7" applyFont="1" applyFill="1" applyBorder="1" applyAlignment="1">
      <alignment horizontal="center" vertical="center"/>
    </xf>
    <xf numFmtId="0" fontId="89" fillId="5" borderId="15" xfId="0" applyFont="1" applyFill="1" applyBorder="1" applyAlignment="1" applyProtection="1">
      <alignment horizontal="left"/>
      <protection locked="0"/>
    </xf>
    <xf numFmtId="0" fontId="89" fillId="5" borderId="16" xfId="0" applyFont="1" applyFill="1" applyBorder="1" applyAlignment="1" applyProtection="1">
      <alignment horizontal="left"/>
      <protection locked="0"/>
    </xf>
    <xf numFmtId="0" fontId="92" fillId="14" borderId="2" xfId="0" applyFont="1" applyFill="1" applyBorder="1" applyAlignment="1">
      <alignment horizontal="left" wrapText="1" indent="2"/>
    </xf>
    <xf numFmtId="0" fontId="92" fillId="14" borderId="1" xfId="0" applyFont="1" applyFill="1" applyBorder="1" applyAlignment="1">
      <alignment horizontal="left" wrapText="1" indent="2"/>
    </xf>
    <xf numFmtId="0" fontId="106" fillId="3" borderId="8" xfId="0" applyFont="1" applyFill="1" applyBorder="1" applyAlignment="1">
      <alignment horizontal="left" wrapText="1"/>
    </xf>
    <xf numFmtId="0" fontId="106" fillId="3" borderId="6" xfId="0" applyFont="1" applyFill="1" applyBorder="1" applyAlignment="1">
      <alignment horizontal="left" wrapText="1"/>
    </xf>
    <xf numFmtId="0" fontId="91" fillId="0" borderId="13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91" fillId="29" borderId="1" xfId="0" applyFont="1" applyFill="1" applyBorder="1" applyAlignment="1">
      <alignment horizontal="center" vertical="center"/>
    </xf>
    <xf numFmtId="0" fontId="91" fillId="29" borderId="1" xfId="0" applyFont="1" applyFill="1" applyBorder="1" applyAlignment="1">
      <alignment horizontal="center" vertical="center" wrapText="1"/>
    </xf>
    <xf numFmtId="0" fontId="91" fillId="29" borderId="1" xfId="0" applyFont="1" applyFill="1" applyBorder="1" applyAlignment="1">
      <alignment horizontal="center"/>
    </xf>
    <xf numFmtId="0" fontId="89" fillId="0" borderId="14" xfId="0" applyFont="1" applyBorder="1" applyAlignment="1">
      <alignment horizontal="left" vertical="center" wrapText="1"/>
    </xf>
    <xf numFmtId="0" fontId="89" fillId="0" borderId="3" xfId="0" applyFont="1" applyBorder="1" applyAlignment="1">
      <alignment horizontal="left" vertical="center" wrapText="1"/>
    </xf>
    <xf numFmtId="0" fontId="106" fillId="6" borderId="8" xfId="0" applyFont="1" applyFill="1" applyBorder="1" applyAlignment="1">
      <alignment horizontal="left" wrapText="1"/>
    </xf>
    <xf numFmtId="0" fontId="106" fillId="6" borderId="6" xfId="0" applyFont="1" applyFill="1" applyBorder="1" applyAlignment="1">
      <alignment horizontal="left" wrapText="1"/>
    </xf>
    <xf numFmtId="4" fontId="86" fillId="0" borderId="0" xfId="0" applyNumberFormat="1" applyFont="1" applyAlignment="1" applyProtection="1">
      <alignment horizontal="center" vertical="center" wrapText="1"/>
      <protection locked="0"/>
    </xf>
    <xf numFmtId="0" fontId="89" fillId="0" borderId="14" xfId="0" applyFont="1" applyBorder="1" applyAlignment="1">
      <alignment horizontal="left" wrapText="1"/>
    </xf>
    <xf numFmtId="0" fontId="89" fillId="0" borderId="3" xfId="0" applyFont="1" applyBorder="1" applyAlignment="1">
      <alignment horizontal="left" wrapText="1"/>
    </xf>
    <xf numFmtId="0" fontId="106" fillId="0" borderId="2" xfId="0" applyFont="1" applyFill="1" applyBorder="1" applyAlignment="1">
      <alignment horizontal="left" wrapText="1"/>
    </xf>
    <xf numFmtId="0" fontId="106" fillId="0" borderId="1" xfId="0" applyFont="1" applyFill="1" applyBorder="1" applyAlignment="1">
      <alignment horizontal="left" wrapText="1"/>
    </xf>
    <xf numFmtId="4" fontId="104" fillId="0" borderId="0" xfId="0" applyNumberFormat="1" applyFont="1" applyAlignment="1" applyProtection="1">
      <alignment horizontal="center" vertical="center"/>
      <protection locked="0"/>
    </xf>
    <xf numFmtId="0" fontId="93" fillId="0" borderId="2" xfId="0" applyFont="1" applyFill="1" applyBorder="1" applyAlignment="1">
      <alignment horizontal="left" wrapText="1" indent="1"/>
    </xf>
    <xf numFmtId="0" fontId="93" fillId="0" borderId="1" xfId="0" applyFont="1" applyFill="1" applyBorder="1" applyAlignment="1">
      <alignment horizontal="left" wrapText="1" indent="1"/>
    </xf>
    <xf numFmtId="0" fontId="89" fillId="0" borderId="26" xfId="0" applyFont="1" applyBorder="1" applyAlignment="1">
      <alignment horizontal="left" wrapText="1"/>
    </xf>
    <xf numFmtId="0" fontId="89" fillId="0" borderId="27" xfId="0" applyFont="1" applyBorder="1" applyAlignment="1">
      <alignment horizontal="left" wrapText="1"/>
    </xf>
    <xf numFmtId="0" fontId="92" fillId="14" borderId="31" xfId="0" applyFont="1" applyFill="1" applyBorder="1" applyAlignment="1">
      <alignment horizontal="left" wrapText="1" indent="5"/>
    </xf>
    <xf numFmtId="0" fontId="92" fillId="14" borderId="52" xfId="0" applyFont="1" applyFill="1" applyBorder="1" applyAlignment="1">
      <alignment horizontal="left" wrapText="1" indent="5"/>
    </xf>
    <xf numFmtId="0" fontId="92" fillId="14" borderId="42" xfId="0" applyFont="1" applyFill="1" applyBorder="1" applyAlignment="1">
      <alignment horizontal="left" wrapText="1" indent="5"/>
    </xf>
    <xf numFmtId="0" fontId="92" fillId="14" borderId="2" xfId="0" applyFont="1" applyFill="1" applyBorder="1" applyAlignment="1">
      <alignment horizontal="left" wrapText="1" indent="1"/>
    </xf>
    <xf numFmtId="0" fontId="92" fillId="14" borderId="1" xfId="0" applyFont="1" applyFill="1" applyBorder="1" applyAlignment="1">
      <alignment horizontal="left" wrapText="1" indent="1"/>
    </xf>
    <xf numFmtId="0" fontId="92" fillId="14" borderId="31" xfId="0" applyFont="1" applyFill="1" applyBorder="1" applyAlignment="1">
      <alignment horizontal="left" wrapText="1" indent="1"/>
    </xf>
    <xf numFmtId="0" fontId="92" fillId="14" borderId="52" xfId="0" applyFont="1" applyFill="1" applyBorder="1" applyAlignment="1">
      <alignment horizontal="left" wrapText="1" indent="1"/>
    </xf>
    <xf numFmtId="0" fontId="92" fillId="14" borderId="42" xfId="0" applyFont="1" applyFill="1" applyBorder="1" applyAlignment="1">
      <alignment horizontal="left" wrapText="1" indent="1"/>
    </xf>
    <xf numFmtId="0" fontId="89" fillId="5" borderId="15" xfId="0" applyFont="1" applyFill="1" applyBorder="1" applyAlignment="1">
      <alignment horizontal="left"/>
    </xf>
    <xf numFmtId="0" fontId="89" fillId="5" borderId="16" xfId="0" applyFont="1" applyFill="1" applyBorder="1" applyAlignment="1">
      <alignment horizontal="left"/>
    </xf>
    <xf numFmtId="1" fontId="10" fillId="3" borderId="0" xfId="0" applyNumberFormat="1" applyFont="1" applyFill="1" applyBorder="1" applyAlignment="1" applyProtection="1">
      <alignment horizontal="center" vertical="center" wrapText="1"/>
    </xf>
    <xf numFmtId="0" fontId="89" fillId="0" borderId="68" xfId="0" applyFont="1" applyBorder="1" applyAlignment="1">
      <alignment horizontal="left" wrapText="1"/>
    </xf>
    <xf numFmtId="0" fontId="89" fillId="0" borderId="69" xfId="0" applyFont="1" applyBorder="1" applyAlignment="1">
      <alignment horizontal="left" wrapText="1"/>
    </xf>
    <xf numFmtId="0" fontId="89" fillId="0" borderId="36" xfId="0" applyFont="1" applyBorder="1" applyAlignment="1">
      <alignment horizontal="left" wrapText="1"/>
    </xf>
    <xf numFmtId="0" fontId="92" fillId="3" borderId="0" xfId="0" applyFont="1" applyFill="1" applyBorder="1" applyAlignment="1">
      <alignment horizontal="left" wrapText="1"/>
    </xf>
    <xf numFmtId="0" fontId="104" fillId="3" borderId="0" xfId="0" applyFont="1" applyFill="1" applyBorder="1" applyAlignment="1">
      <alignment horizontal="left" wrapText="1"/>
    </xf>
    <xf numFmtId="0" fontId="14" fillId="2" borderId="1" xfId="7" applyFont="1" applyFill="1" applyBorder="1" applyAlignment="1">
      <alignment horizontal="left" vertical="center" wrapText="1"/>
    </xf>
    <xf numFmtId="0" fontId="14" fillId="0" borderId="1" xfId="6" applyFont="1" applyBorder="1" applyAlignment="1">
      <alignment horizontal="center" vertical="center" wrapText="1"/>
    </xf>
    <xf numFmtId="0" fontId="14" fillId="2" borderId="6" xfId="7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wrapText="1"/>
    </xf>
    <xf numFmtId="0" fontId="11" fillId="0" borderId="1" xfId="6" applyFont="1" applyBorder="1" applyAlignment="1">
      <alignment horizontal="center"/>
    </xf>
    <xf numFmtId="0" fontId="51" fillId="0" borderId="1" xfId="6" applyFont="1" applyBorder="1" applyAlignment="1">
      <alignment horizontal="center" vertical="center"/>
    </xf>
    <xf numFmtId="182" fontId="51" fillId="15" borderId="1" xfId="6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6" fillId="0" borderId="1" xfId="6" applyFont="1" applyBorder="1" applyAlignment="1">
      <alignment horizontal="center" vertical="center"/>
    </xf>
    <xf numFmtId="0" fontId="5" fillId="0" borderId="1" xfId="6" applyFont="1" applyFill="1" applyBorder="1" applyAlignment="1">
      <alignment vertical="center" wrapText="1"/>
    </xf>
    <xf numFmtId="0" fontId="2" fillId="0" borderId="1" xfId="6" applyBorder="1" applyAlignment="1">
      <alignment horizontal="center"/>
    </xf>
    <xf numFmtId="0" fontId="2" fillId="0" borderId="28" xfId="6" applyBorder="1" applyAlignment="1">
      <alignment horizontal="center"/>
    </xf>
    <xf numFmtId="0" fontId="51" fillId="0" borderId="1" xfId="6" applyFont="1" applyBorder="1" applyAlignment="1">
      <alignment horizontal="center" vertical="center" wrapText="1"/>
    </xf>
    <xf numFmtId="0" fontId="19" fillId="2" borderId="1" xfId="7" applyFont="1" applyFill="1" applyBorder="1" applyAlignment="1">
      <alignment horizontal="center" vertical="center"/>
    </xf>
    <xf numFmtId="0" fontId="19" fillId="2" borderId="6" xfId="7" applyFont="1" applyFill="1" applyBorder="1" applyAlignment="1">
      <alignment horizontal="left" vertical="center" wrapText="1"/>
    </xf>
    <xf numFmtId="0" fontId="19" fillId="2" borderId="42" xfId="7" applyFont="1" applyFill="1" applyBorder="1" applyAlignment="1">
      <alignment horizontal="center" vertical="center" wrapText="1"/>
    </xf>
    <xf numFmtId="0" fontId="19" fillId="0" borderId="1" xfId="7" applyFont="1" applyFill="1" applyBorder="1" applyAlignment="1" applyProtection="1">
      <alignment horizontal="center" vertical="center" wrapText="1"/>
    </xf>
    <xf numFmtId="49" fontId="19" fillId="2" borderId="0" xfId="7" applyNumberFormat="1" applyFont="1" applyFill="1" applyBorder="1" applyAlignment="1">
      <alignment horizontal="left" vertical="center"/>
    </xf>
    <xf numFmtId="0" fontId="14" fillId="2" borderId="1" xfId="7" applyFont="1" applyFill="1" applyBorder="1" applyAlignment="1">
      <alignment horizontal="left" wrapText="1"/>
    </xf>
    <xf numFmtId="0" fontId="14" fillId="2" borderId="38" xfId="7" applyFont="1" applyFill="1" applyBorder="1" applyAlignment="1">
      <alignment horizontal="center" vertical="center"/>
    </xf>
    <xf numFmtId="0" fontId="14" fillId="2" borderId="69" xfId="7" applyFont="1" applyFill="1" applyBorder="1" applyAlignment="1">
      <alignment horizontal="center" vertical="center"/>
    </xf>
    <xf numFmtId="0" fontId="14" fillId="2" borderId="36" xfId="7" applyFont="1" applyFill="1" applyBorder="1" applyAlignment="1">
      <alignment horizontal="center" vertical="center"/>
    </xf>
    <xf numFmtId="0" fontId="19" fillId="2" borderId="5" xfId="7" applyFont="1" applyFill="1" applyBorder="1" applyAlignment="1">
      <alignment horizontal="center" vertical="center" wrapText="1"/>
    </xf>
    <xf numFmtId="0" fontId="11" fillId="0" borderId="9" xfId="6" applyFont="1" applyBorder="1" applyAlignment="1">
      <alignment horizontal="left"/>
    </xf>
    <xf numFmtId="0" fontId="11" fillId="0" borderId="52" xfId="6" applyFont="1" applyBorder="1" applyAlignment="1">
      <alignment horizontal="left"/>
    </xf>
    <xf numFmtId="0" fontId="11" fillId="0" borderId="42" xfId="6" applyFont="1" applyBorder="1" applyAlignment="1">
      <alignment horizontal="left"/>
    </xf>
    <xf numFmtId="0" fontId="11" fillId="0" borderId="9" xfId="6" applyFont="1" applyBorder="1" applyAlignment="1">
      <alignment horizontal="left" wrapText="1"/>
    </xf>
    <xf numFmtId="0" fontId="11" fillId="0" borderId="52" xfId="6" applyFont="1" applyBorder="1" applyAlignment="1">
      <alignment horizontal="left" wrapText="1"/>
    </xf>
    <xf numFmtId="0" fontId="11" fillId="0" borderId="42" xfId="6" applyFont="1" applyBorder="1" applyAlignment="1">
      <alignment horizontal="left" wrapText="1"/>
    </xf>
    <xf numFmtId="49" fontId="14" fillId="2" borderId="0" xfId="7" applyNumberFormat="1" applyFont="1" applyFill="1" applyBorder="1" applyAlignment="1">
      <alignment horizontal="left" vertical="center"/>
    </xf>
    <xf numFmtId="0" fontId="19" fillId="2" borderId="3" xfId="7" applyFont="1" applyFill="1" applyBorder="1" applyAlignment="1">
      <alignment horizontal="center" vertical="center"/>
    </xf>
    <xf numFmtId="0" fontId="19" fillId="2" borderId="3" xfId="7" applyFont="1" applyFill="1" applyBorder="1" applyAlignment="1">
      <alignment horizontal="center" vertical="center" wrapText="1"/>
    </xf>
    <xf numFmtId="0" fontId="19" fillId="2" borderId="4" xfId="7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/>
    </xf>
    <xf numFmtId="0" fontId="1" fillId="0" borderId="1" xfId="6" applyFont="1" applyBorder="1" applyAlignment="1" applyProtection="1">
      <alignment horizontal="center"/>
      <protection locked="0"/>
    </xf>
    <xf numFmtId="0" fontId="2" fillId="0" borderId="1" xfId="6" applyBorder="1" applyAlignment="1" applyProtection="1">
      <alignment horizontal="center"/>
      <protection locked="0"/>
    </xf>
    <xf numFmtId="0" fontId="75" fillId="0" borderId="0" xfId="6" applyFont="1" applyAlignment="1">
      <alignment horizontal="center"/>
    </xf>
    <xf numFmtId="0" fontId="11" fillId="0" borderId="0" xfId="6" applyFont="1" applyAlignment="1">
      <alignment horizontal="center" vertical="center" wrapText="1"/>
    </xf>
    <xf numFmtId="49" fontId="19" fillId="2" borderId="14" xfId="7" applyNumberFormat="1" applyFont="1" applyFill="1" applyBorder="1" applyAlignment="1">
      <alignment vertical="center"/>
    </xf>
    <xf numFmtId="49" fontId="19" fillId="2" borderId="2" xfId="7" applyNumberFormat="1" applyFont="1" applyFill="1" applyBorder="1" applyAlignment="1">
      <alignment vertical="center"/>
    </xf>
    <xf numFmtId="0" fontId="14" fillId="0" borderId="1" xfId="7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left" vertical="center" wrapText="1"/>
    </xf>
    <xf numFmtId="180" fontId="103" fillId="5" borderId="8" xfId="0" applyNumberFormat="1" applyFont="1" applyFill="1" applyBorder="1" applyAlignment="1" applyProtection="1">
      <alignment horizontal="center"/>
    </xf>
    <xf numFmtId="180" fontId="103" fillId="5" borderId="6" xfId="0" applyNumberFormat="1" applyFont="1" applyFill="1" applyBorder="1" applyAlignment="1" applyProtection="1">
      <alignment horizontal="center"/>
    </xf>
    <xf numFmtId="4" fontId="20" fillId="3" borderId="38" xfId="0" applyNumberFormat="1" applyFont="1" applyFill="1" applyBorder="1" applyAlignment="1" applyProtection="1">
      <alignment horizontal="center"/>
      <protection locked="0"/>
    </xf>
    <xf numFmtId="4" fontId="20" fillId="3" borderId="69" xfId="0" applyNumberFormat="1" applyFont="1" applyFill="1" applyBorder="1" applyAlignment="1" applyProtection="1">
      <alignment horizontal="center"/>
      <protection locked="0"/>
    </xf>
    <xf numFmtId="4" fontId="20" fillId="3" borderId="56" xfId="0" applyNumberFormat="1" applyFont="1" applyFill="1" applyBorder="1" applyAlignment="1" applyProtection="1">
      <alignment horizontal="center"/>
      <protection locked="0"/>
    </xf>
    <xf numFmtId="4" fontId="104" fillId="3" borderId="9" xfId="0" applyNumberFormat="1" applyFont="1" applyFill="1" applyBorder="1" applyAlignment="1" applyProtection="1">
      <alignment horizontal="center" vertical="center"/>
    </xf>
    <xf numFmtId="4" fontId="104" fillId="3" borderId="42" xfId="0" applyNumberFormat="1" applyFont="1" applyFill="1" applyBorder="1" applyAlignment="1" applyProtection="1">
      <alignment horizontal="center" vertical="center"/>
    </xf>
    <xf numFmtId="4" fontId="104" fillId="0" borderId="6" xfId="0" applyNumberFormat="1" applyFont="1" applyFill="1" applyBorder="1" applyAlignment="1" applyProtection="1">
      <alignment horizontal="center"/>
      <protection locked="0"/>
    </xf>
    <xf numFmtId="4" fontId="104" fillId="0" borderId="7" xfId="0" applyNumberFormat="1" applyFont="1" applyFill="1" applyBorder="1" applyAlignment="1" applyProtection="1">
      <alignment horizontal="center"/>
      <protection locked="0"/>
    </xf>
    <xf numFmtId="4" fontId="104" fillId="0" borderId="1" xfId="0" applyNumberFormat="1" applyFont="1" applyFill="1" applyBorder="1" applyAlignment="1" applyProtection="1">
      <alignment horizontal="center"/>
      <protection locked="0"/>
    </xf>
    <xf numFmtId="4" fontId="104" fillId="0" borderId="5" xfId="0" applyNumberFormat="1" applyFont="1" applyFill="1" applyBorder="1" applyAlignment="1" applyProtection="1">
      <alignment horizontal="center"/>
      <protection locked="0"/>
    </xf>
    <xf numFmtId="4" fontId="104" fillId="5" borderId="1" xfId="0" applyNumberFormat="1" applyFont="1" applyFill="1" applyBorder="1" applyAlignment="1">
      <alignment horizontal="center"/>
    </xf>
    <xf numFmtId="4" fontId="104" fillId="5" borderId="5" xfId="0" applyNumberFormat="1" applyFont="1" applyFill="1" applyBorder="1" applyAlignment="1">
      <alignment horizontal="center"/>
    </xf>
    <xf numFmtId="4" fontId="104" fillId="0" borderId="38" xfId="0" applyNumberFormat="1" applyFont="1" applyFill="1" applyBorder="1" applyAlignment="1" applyProtection="1">
      <alignment horizontal="center"/>
      <protection locked="0"/>
    </xf>
    <xf numFmtId="4" fontId="104" fillId="0" borderId="36" xfId="0" applyNumberFormat="1" applyFont="1" applyFill="1" applyBorder="1" applyAlignment="1" applyProtection="1">
      <alignment horizontal="center"/>
      <protection locked="0"/>
    </xf>
    <xf numFmtId="4" fontId="104" fillId="5" borderId="3" xfId="0" applyNumberFormat="1" applyFont="1" applyFill="1" applyBorder="1" applyAlignment="1">
      <alignment horizontal="center" vertical="center"/>
    </xf>
    <xf numFmtId="4" fontId="104" fillId="5" borderId="1" xfId="0" applyNumberFormat="1" applyFont="1" applyFill="1" applyBorder="1" applyAlignment="1">
      <alignment horizontal="center" vertical="center"/>
    </xf>
    <xf numFmtId="4" fontId="20" fillId="3" borderId="36" xfId="0" applyNumberFormat="1" applyFont="1" applyFill="1" applyBorder="1" applyAlignment="1" applyProtection="1">
      <alignment horizontal="center"/>
      <protection locked="0"/>
    </xf>
    <xf numFmtId="4" fontId="104" fillId="3" borderId="72" xfId="0" applyNumberFormat="1" applyFont="1" applyFill="1" applyBorder="1" applyAlignment="1">
      <alignment horizontal="center"/>
    </xf>
    <xf numFmtId="4" fontId="104" fillId="3" borderId="73" xfId="0" applyNumberFormat="1" applyFont="1" applyFill="1" applyBorder="1" applyAlignment="1">
      <alignment horizontal="center"/>
    </xf>
    <xf numFmtId="4" fontId="10" fillId="3" borderId="31" xfId="0" applyNumberFormat="1" applyFont="1" applyFill="1" applyBorder="1" applyAlignment="1" applyProtection="1">
      <alignment horizontal="center" vertical="center"/>
    </xf>
    <xf numFmtId="4" fontId="10" fillId="3" borderId="52" xfId="0" applyNumberFormat="1" applyFont="1" applyFill="1" applyBorder="1" applyAlignment="1" applyProtection="1">
      <alignment horizontal="center" vertical="center"/>
    </xf>
    <xf numFmtId="4" fontId="10" fillId="3" borderId="62" xfId="0" applyNumberFormat="1" applyFont="1" applyFill="1" applyBorder="1" applyAlignment="1" applyProtection="1">
      <alignment horizontal="center" vertical="center"/>
    </xf>
    <xf numFmtId="4" fontId="10" fillId="3" borderId="57" xfId="0" applyNumberFormat="1" applyFont="1" applyFill="1" applyBorder="1" applyAlignment="1" applyProtection="1">
      <alignment horizontal="center" vertical="center"/>
    </xf>
    <xf numFmtId="180" fontId="104" fillId="5" borderId="2" xfId="0" applyNumberFormat="1" applyFont="1" applyFill="1" applyBorder="1" applyAlignment="1" applyProtection="1">
      <alignment horizontal="center"/>
    </xf>
    <xf numFmtId="180" fontId="104" fillId="5" borderId="1" xfId="0" applyNumberFormat="1" applyFont="1" applyFill="1" applyBorder="1" applyAlignment="1" applyProtection="1">
      <alignment horizontal="center"/>
    </xf>
    <xf numFmtId="4" fontId="104" fillId="3" borderId="52" xfId="0" applyNumberFormat="1" applyFont="1" applyFill="1" applyBorder="1" applyAlignment="1" applyProtection="1">
      <alignment horizontal="center" vertical="center"/>
    </xf>
    <xf numFmtId="4" fontId="104" fillId="5" borderId="9" xfId="0" applyNumberFormat="1" applyFont="1" applyFill="1" applyBorder="1" applyAlignment="1" applyProtection="1">
      <alignment horizontal="center"/>
    </xf>
    <xf numFmtId="4" fontId="104" fillId="5" borderId="52" xfId="0" applyNumberFormat="1" applyFont="1" applyFill="1" applyBorder="1" applyAlignment="1" applyProtection="1">
      <alignment horizontal="center"/>
    </xf>
    <xf numFmtId="0" fontId="104" fillId="3" borderId="39" xfId="0" applyFont="1" applyFill="1" applyBorder="1" applyAlignment="1" applyProtection="1">
      <alignment horizontal="center" vertical="center" wrapText="1"/>
      <protection locked="0"/>
    </xf>
    <xf numFmtId="0" fontId="104" fillId="3" borderId="37" xfId="0" applyFont="1" applyFill="1" applyBorder="1" applyAlignment="1" applyProtection="1">
      <alignment horizontal="center" vertical="center" wrapText="1"/>
      <protection locked="0"/>
    </xf>
    <xf numFmtId="0" fontId="104" fillId="3" borderId="28" xfId="0" applyFont="1" applyFill="1" applyBorder="1" applyAlignment="1" applyProtection="1">
      <alignment horizontal="center" vertical="center" wrapText="1"/>
      <protection locked="0"/>
    </xf>
    <xf numFmtId="0" fontId="104" fillId="3" borderId="29" xfId="0" applyFont="1" applyFill="1" applyBorder="1" applyAlignment="1" applyProtection="1">
      <alignment horizontal="center" vertical="center" wrapText="1"/>
      <protection locked="0"/>
    </xf>
    <xf numFmtId="0" fontId="104" fillId="3" borderId="25" xfId="0" applyFont="1" applyFill="1" applyBorder="1" applyAlignment="1" applyProtection="1">
      <alignment horizontal="center" vertical="center" wrapText="1"/>
      <protection locked="0"/>
    </xf>
    <xf numFmtId="0" fontId="104" fillId="3" borderId="41" xfId="0" applyFont="1" applyFill="1" applyBorder="1" applyAlignment="1" applyProtection="1">
      <alignment horizontal="center" vertical="center" wrapText="1"/>
      <protection locked="0"/>
    </xf>
    <xf numFmtId="0" fontId="104" fillId="0" borderId="22" xfId="0" applyFont="1" applyBorder="1" applyAlignment="1">
      <alignment horizontal="center" vertical="center"/>
    </xf>
    <xf numFmtId="0" fontId="104" fillId="0" borderId="43" xfId="0" applyFont="1" applyBorder="1" applyAlignment="1">
      <alignment horizontal="center" vertical="center"/>
    </xf>
    <xf numFmtId="4" fontId="104" fillId="5" borderId="38" xfId="0" applyNumberFormat="1" applyFont="1" applyFill="1" applyBorder="1" applyAlignment="1" applyProtection="1">
      <alignment horizontal="center" vertical="center" wrapText="1"/>
    </xf>
    <xf numFmtId="4" fontId="104" fillId="5" borderId="36" xfId="0" applyNumberFormat="1" applyFont="1" applyFill="1" applyBorder="1" applyAlignment="1" applyProtection="1">
      <alignment horizontal="center" vertical="center" wrapText="1"/>
    </xf>
    <xf numFmtId="182" fontId="103" fillId="5" borderId="22" xfId="0" applyNumberFormat="1" applyFont="1" applyFill="1" applyBorder="1" applyAlignment="1" applyProtection="1">
      <alignment horizontal="center"/>
    </xf>
    <xf numFmtId="182" fontId="103" fillId="5" borderId="76" xfId="0" applyNumberFormat="1" applyFont="1" applyFill="1" applyBorder="1" applyAlignment="1" applyProtection="1">
      <alignment horizontal="center"/>
    </xf>
    <xf numFmtId="182" fontId="103" fillId="5" borderId="59" xfId="0" applyNumberFormat="1" applyFont="1" applyFill="1" applyBorder="1" applyAlignment="1" applyProtection="1">
      <alignment horizontal="center"/>
    </xf>
    <xf numFmtId="0" fontId="104" fillId="0" borderId="12" xfId="0" applyFont="1" applyBorder="1" applyAlignment="1">
      <alignment horizontal="center" vertical="center"/>
    </xf>
    <xf numFmtId="0" fontId="104" fillId="3" borderId="4" xfId="0" applyFont="1" applyFill="1" applyBorder="1" applyAlignment="1" applyProtection="1">
      <alignment horizontal="center" vertical="center" wrapText="1"/>
      <protection locked="0"/>
    </xf>
    <xf numFmtId="0" fontId="104" fillId="3" borderId="5" xfId="0" applyFont="1" applyFill="1" applyBorder="1" applyAlignment="1" applyProtection="1">
      <alignment horizontal="center" vertical="center" wrapText="1"/>
      <protection locked="0"/>
    </xf>
    <xf numFmtId="0" fontId="104" fillId="3" borderId="3" xfId="0" applyFont="1" applyFill="1" applyBorder="1" applyAlignment="1" applyProtection="1">
      <alignment horizontal="center" vertical="center" wrapText="1"/>
      <protection locked="0"/>
    </xf>
    <xf numFmtId="0" fontId="104" fillId="3" borderId="1" xfId="0" applyFont="1" applyFill="1" applyBorder="1" applyAlignment="1" applyProtection="1">
      <alignment horizontal="center" vertical="center" wrapText="1"/>
      <protection locked="0"/>
    </xf>
    <xf numFmtId="4" fontId="104" fillId="5" borderId="3" xfId="0" applyNumberFormat="1" applyFont="1" applyFill="1" applyBorder="1" applyAlignment="1" applyProtection="1">
      <alignment horizontal="center" vertical="center" wrapText="1"/>
    </xf>
    <xf numFmtId="4" fontId="104" fillId="5" borderId="3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 applyProtection="1">
      <alignment horizontal="center"/>
      <protection locked="0"/>
    </xf>
    <xf numFmtId="4" fontId="104" fillId="5" borderId="4" xfId="0" applyNumberFormat="1" applyFont="1" applyFill="1" applyBorder="1" applyAlignment="1">
      <alignment horizontal="center"/>
    </xf>
    <xf numFmtId="184" fontId="104" fillId="5" borderId="9" xfId="0" applyNumberFormat="1" applyFont="1" applyFill="1" applyBorder="1" applyAlignment="1" applyProtection="1">
      <alignment horizontal="center"/>
    </xf>
    <xf numFmtId="184" fontId="104" fillId="5" borderId="42" xfId="0" applyNumberFormat="1" applyFont="1" applyFill="1" applyBorder="1" applyAlignment="1" applyProtection="1">
      <alignment horizontal="center"/>
    </xf>
    <xf numFmtId="4" fontId="104" fillId="5" borderId="2" xfId="0" applyNumberFormat="1" applyFont="1" applyFill="1" applyBorder="1" applyAlignment="1">
      <alignment horizontal="center"/>
    </xf>
    <xf numFmtId="4" fontId="104" fillId="5" borderId="8" xfId="0" applyNumberFormat="1" applyFont="1" applyFill="1" applyBorder="1" applyAlignment="1">
      <alignment horizontal="center"/>
    </xf>
    <xf numFmtId="4" fontId="104" fillId="5" borderId="6" xfId="0" applyNumberFormat="1" applyFont="1" applyFill="1" applyBorder="1" applyAlignment="1">
      <alignment horizontal="center"/>
    </xf>
    <xf numFmtId="4" fontId="104" fillId="5" borderId="10" xfId="0" applyNumberFormat="1" applyFont="1" applyFill="1" applyBorder="1" applyAlignment="1">
      <alignment horizontal="center"/>
    </xf>
    <xf numFmtId="4" fontId="104" fillId="5" borderId="11" xfId="0" applyNumberFormat="1" applyFont="1" applyFill="1" applyBorder="1" applyAlignment="1">
      <alignment horizontal="center"/>
    </xf>
    <xf numFmtId="4" fontId="10" fillId="3" borderId="13" xfId="7" applyNumberFormat="1" applyFont="1" applyFill="1" applyBorder="1" applyAlignment="1" applyProtection="1">
      <alignment horizontal="center" vertical="center" wrapText="1"/>
    </xf>
    <xf numFmtId="4" fontId="10" fillId="3" borderId="26" xfId="7" applyNumberFormat="1" applyFont="1" applyFill="1" applyBorder="1" applyAlignment="1" applyProtection="1">
      <alignment horizontal="center" vertical="center" wrapText="1"/>
    </xf>
    <xf numFmtId="4" fontId="10" fillId="3" borderId="47" xfId="7" applyNumberFormat="1" applyFont="1" applyFill="1" applyBorder="1" applyAlignment="1" applyProtection="1">
      <alignment horizontal="center" vertical="center" wrapText="1"/>
    </xf>
    <xf numFmtId="4" fontId="10" fillId="3" borderId="17" xfId="7" applyNumberFormat="1" applyFont="1" applyFill="1" applyBorder="1" applyAlignment="1" applyProtection="1">
      <alignment horizontal="center" vertical="center" wrapText="1"/>
    </xf>
    <xf numFmtId="4" fontId="10" fillId="3" borderId="30" xfId="7" applyNumberFormat="1" applyFont="1" applyFill="1" applyBorder="1" applyAlignment="1" applyProtection="1">
      <alignment horizontal="center" vertical="center" wrapText="1"/>
    </xf>
    <xf numFmtId="4" fontId="10" fillId="3" borderId="58" xfId="7" applyNumberFormat="1" applyFont="1" applyFill="1" applyBorder="1" applyAlignment="1" applyProtection="1">
      <alignment horizontal="center" vertical="center" wrapText="1"/>
    </xf>
    <xf numFmtId="4" fontId="104" fillId="3" borderId="1" xfId="0" applyNumberFormat="1" applyFont="1" applyFill="1" applyBorder="1" applyAlignment="1" applyProtection="1">
      <alignment horizontal="center" vertical="center"/>
    </xf>
    <xf numFmtId="0" fontId="104" fillId="0" borderId="12" xfId="0" applyFont="1" applyFill="1" applyBorder="1" applyAlignment="1" applyProtection="1">
      <alignment horizontal="center" vertical="center" wrapText="1"/>
    </xf>
    <xf numFmtId="0" fontId="104" fillId="0" borderId="10" xfId="0" applyFont="1" applyFill="1" applyBorder="1" applyAlignment="1" applyProtection="1">
      <alignment horizontal="center" vertical="center" wrapText="1"/>
    </xf>
    <xf numFmtId="0" fontId="104" fillId="0" borderId="27" xfId="0" applyFont="1" applyFill="1" applyBorder="1" applyAlignment="1" applyProtection="1">
      <alignment horizontal="center" vertical="center" wrapText="1"/>
    </xf>
    <xf numFmtId="0" fontId="104" fillId="0" borderId="48" xfId="0" applyFont="1" applyFill="1" applyBorder="1" applyAlignment="1" applyProtection="1">
      <alignment horizontal="center" vertical="center" wrapText="1"/>
    </xf>
    <xf numFmtId="0" fontId="104" fillId="0" borderId="17" xfId="0" applyFont="1" applyFill="1" applyBorder="1" applyAlignment="1" applyProtection="1">
      <alignment horizontal="center" vertical="center" wrapText="1"/>
    </xf>
    <xf numFmtId="0" fontId="104" fillId="0" borderId="30" xfId="0" applyFont="1" applyFill="1" applyBorder="1" applyAlignment="1" applyProtection="1">
      <alignment horizontal="center" vertical="center" wrapText="1"/>
    </xf>
    <xf numFmtId="0" fontId="104" fillId="0" borderId="58" xfId="0" applyFont="1" applyFill="1" applyBorder="1" applyAlignment="1" applyProtection="1">
      <alignment horizontal="center" vertical="center" wrapText="1"/>
    </xf>
    <xf numFmtId="0" fontId="104" fillId="3" borderId="9" xfId="0" applyFont="1" applyFill="1" applyBorder="1" applyAlignment="1">
      <alignment horizontal="center" wrapText="1"/>
    </xf>
    <xf numFmtId="0" fontId="104" fillId="3" borderId="52" xfId="0" applyFont="1" applyFill="1" applyBorder="1" applyAlignment="1">
      <alignment horizontal="center" wrapText="1"/>
    </xf>
    <xf numFmtId="0" fontId="104" fillId="3" borderId="42" xfId="0" applyFont="1" applyFill="1" applyBorder="1" applyAlignment="1">
      <alignment horizontal="center" wrapText="1"/>
    </xf>
    <xf numFmtId="0" fontId="103" fillId="0" borderId="1" xfId="0" applyFont="1" applyFill="1" applyBorder="1" applyAlignment="1">
      <alignment horizontal="left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3" borderId="1" xfId="7" applyNumberFormat="1" applyFont="1" applyFill="1" applyBorder="1" applyAlignment="1">
      <alignment horizontal="center" vertical="center" wrapText="1"/>
    </xf>
    <xf numFmtId="3" fontId="104" fillId="0" borderId="10" xfId="0" applyNumberFormat="1" applyFont="1" applyFill="1" applyBorder="1" applyAlignment="1" applyProtection="1">
      <alignment horizontal="right" vertical="center"/>
    </xf>
    <xf numFmtId="3" fontId="104" fillId="0" borderId="25" xfId="0" applyNumberFormat="1" applyFont="1" applyFill="1" applyBorder="1" applyAlignment="1" applyProtection="1">
      <alignment horizontal="right" vertical="center"/>
    </xf>
    <xf numFmtId="0" fontId="104" fillId="0" borderId="20" xfId="0" applyFont="1" applyFill="1" applyBorder="1" applyAlignment="1">
      <alignment horizontal="center" vertical="center"/>
    </xf>
    <xf numFmtId="0" fontId="104" fillId="0" borderId="30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/>
    </xf>
    <xf numFmtId="4" fontId="104" fillId="7" borderId="9" xfId="0" applyNumberFormat="1" applyFont="1" applyFill="1" applyBorder="1" applyAlignment="1" applyProtection="1">
      <alignment horizontal="center"/>
      <protection locked="0"/>
    </xf>
    <xf numFmtId="4" fontId="104" fillId="7" borderId="42" xfId="0" applyNumberFormat="1" applyFont="1" applyFill="1" applyBorder="1" applyAlignment="1" applyProtection="1">
      <alignment horizontal="center"/>
      <protection locked="0"/>
    </xf>
    <xf numFmtId="0" fontId="104" fillId="3" borderId="36" xfId="0" applyFont="1" applyFill="1" applyBorder="1" applyAlignment="1">
      <alignment horizontal="center" vertical="center" wrapText="1"/>
    </xf>
    <xf numFmtId="0" fontId="104" fillId="3" borderId="3" xfId="0" applyFont="1" applyFill="1" applyBorder="1" applyAlignment="1">
      <alignment horizontal="center" vertical="center" wrapText="1"/>
    </xf>
    <xf numFmtId="0" fontId="104" fillId="3" borderId="4" xfId="0" applyFont="1" applyFill="1" applyBorder="1" applyAlignment="1">
      <alignment horizontal="center" vertical="center" wrapText="1"/>
    </xf>
    <xf numFmtId="0" fontId="104" fillId="0" borderId="16" xfId="0" applyFont="1" applyFill="1" applyBorder="1" applyAlignment="1">
      <alignment horizontal="left" vertical="center" wrapText="1"/>
    </xf>
    <xf numFmtId="4" fontId="104" fillId="5" borderId="9" xfId="0" applyNumberFormat="1" applyFont="1" applyFill="1" applyBorder="1" applyAlignment="1">
      <alignment horizontal="center"/>
    </xf>
    <xf numFmtId="4" fontId="104" fillId="5" borderId="42" xfId="0" applyNumberFormat="1" applyFont="1" applyFill="1" applyBorder="1" applyAlignment="1">
      <alignment horizontal="center"/>
    </xf>
    <xf numFmtId="4" fontId="104" fillId="3" borderId="1" xfId="0" applyNumberFormat="1" applyFont="1" applyFill="1" applyBorder="1" applyAlignment="1">
      <alignment horizontal="center" vertical="center" wrapText="1"/>
    </xf>
    <xf numFmtId="4" fontId="104" fillId="5" borderId="14" xfId="0" applyNumberFormat="1" applyFont="1" applyFill="1" applyBorder="1" applyAlignment="1">
      <alignment horizontal="center"/>
    </xf>
    <xf numFmtId="0" fontId="103" fillId="0" borderId="1" xfId="0" applyFont="1" applyFill="1" applyBorder="1" applyAlignment="1">
      <alignment horizontal="left" wrapText="1" indent="2"/>
    </xf>
    <xf numFmtId="0" fontId="104" fillId="0" borderId="13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0" fontId="104" fillId="0" borderId="49" xfId="0" applyFont="1" applyBorder="1" applyAlignment="1">
      <alignment horizontal="center" vertical="center" wrapText="1"/>
    </xf>
    <xf numFmtId="0" fontId="10" fillId="0" borderId="51" xfId="7" applyFont="1" applyFill="1" applyBorder="1" applyAlignment="1" applyProtection="1">
      <alignment horizontal="center" vertical="center"/>
      <protection locked="0"/>
    </xf>
    <xf numFmtId="0" fontId="10" fillId="0" borderId="12" xfId="7" applyFont="1" applyFill="1" applyBorder="1" applyAlignment="1" applyProtection="1">
      <alignment horizontal="center" vertical="center"/>
      <protection locked="0"/>
    </xf>
    <xf numFmtId="0" fontId="10" fillId="0" borderId="49" xfId="7" applyFont="1" applyFill="1" applyBorder="1" applyAlignment="1" applyProtection="1">
      <alignment horizontal="center" vertical="center"/>
      <protection locked="0"/>
    </xf>
    <xf numFmtId="0" fontId="104" fillId="0" borderId="38" xfId="0" applyFont="1" applyFill="1" applyBorder="1" applyAlignment="1" applyProtection="1">
      <alignment horizontal="center" vertical="center" wrapText="1"/>
    </xf>
    <xf numFmtId="0" fontId="104" fillId="0" borderId="9" xfId="0" applyFont="1" applyFill="1" applyBorder="1" applyAlignment="1" applyProtection="1">
      <alignment horizontal="center" vertical="center" wrapText="1"/>
    </xf>
    <xf numFmtId="0" fontId="104" fillId="0" borderId="1" xfId="0" applyFont="1" applyFill="1" applyBorder="1" applyAlignment="1" applyProtection="1">
      <alignment horizontal="center" vertical="center" wrapText="1"/>
    </xf>
    <xf numFmtId="0" fontId="104" fillId="0" borderId="3" xfId="0" applyFont="1" applyFill="1" applyBorder="1" applyAlignment="1" applyProtection="1">
      <alignment horizontal="center" vertical="center" wrapText="1"/>
    </xf>
    <xf numFmtId="182" fontId="104" fillId="0" borderId="3" xfId="0" applyNumberFormat="1" applyFont="1" applyFill="1" applyBorder="1" applyAlignment="1" applyProtection="1">
      <alignment horizontal="center" vertical="center"/>
    </xf>
    <xf numFmtId="4" fontId="10" fillId="3" borderId="9" xfId="7" applyNumberFormat="1" applyFont="1" applyFill="1" applyBorder="1" applyAlignment="1" applyProtection="1">
      <alignment horizontal="center" vertical="center"/>
      <protection locked="0"/>
    </xf>
    <xf numFmtId="4" fontId="10" fillId="3" borderId="42" xfId="7" applyNumberFormat="1" applyFont="1" applyFill="1" applyBorder="1" applyAlignment="1" applyProtection="1">
      <alignment horizontal="center" vertical="center"/>
      <protection locked="0"/>
    </xf>
    <xf numFmtId="4" fontId="104" fillId="5" borderId="1" xfId="0" applyNumberFormat="1" applyFont="1" applyFill="1" applyBorder="1" applyAlignment="1" applyProtection="1">
      <alignment horizontal="center" vertical="center" wrapText="1"/>
    </xf>
    <xf numFmtId="0" fontId="104" fillId="27" borderId="3" xfId="0" applyFont="1" applyFill="1" applyBorder="1" applyAlignment="1" applyProtection="1">
      <alignment horizontal="center" vertical="center" wrapText="1"/>
    </xf>
    <xf numFmtId="0" fontId="104" fillId="27" borderId="1" xfId="0" applyFont="1" applyFill="1" applyBorder="1" applyAlignment="1" applyProtection="1">
      <alignment horizontal="center" vertical="center" wrapText="1"/>
    </xf>
    <xf numFmtId="0" fontId="104" fillId="3" borderId="38" xfId="0" applyFont="1" applyFill="1" applyBorder="1" applyAlignment="1">
      <alignment horizontal="center" vertical="center" wrapText="1"/>
    </xf>
    <xf numFmtId="0" fontId="104" fillId="3" borderId="9" xfId="0" applyFont="1" applyFill="1" applyBorder="1" applyAlignment="1">
      <alignment horizontal="center" vertical="center" wrapText="1"/>
    </xf>
    <xf numFmtId="4" fontId="104" fillId="3" borderId="53" xfId="0" applyNumberFormat="1" applyFont="1" applyFill="1" applyBorder="1" applyAlignment="1">
      <alignment horizontal="center"/>
    </xf>
    <xf numFmtId="4" fontId="104" fillId="3" borderId="21" xfId="0" applyNumberFormat="1" applyFont="1" applyFill="1" applyBorder="1" applyAlignment="1">
      <alignment horizontal="center"/>
    </xf>
    <xf numFmtId="4" fontId="104" fillId="3" borderId="79" xfId="0" applyNumberFormat="1" applyFont="1" applyFill="1" applyBorder="1" applyAlignment="1">
      <alignment horizontal="center"/>
    </xf>
    <xf numFmtId="4" fontId="104" fillId="3" borderId="53" xfId="0" applyNumberFormat="1" applyFont="1" applyFill="1" applyBorder="1" applyAlignment="1" applyProtection="1">
      <alignment horizontal="center" vertical="center" wrapText="1"/>
    </xf>
    <xf numFmtId="4" fontId="104" fillId="3" borderId="79" xfId="0" applyNumberFormat="1" applyFont="1" applyFill="1" applyBorder="1" applyAlignment="1" applyProtection="1">
      <alignment horizontal="center" vertical="center" wrapText="1"/>
    </xf>
    <xf numFmtId="4" fontId="104" fillId="3" borderId="44" xfId="0" applyNumberFormat="1" applyFont="1" applyFill="1" applyBorder="1" applyAlignment="1" applyProtection="1">
      <alignment horizontal="center" vertical="center" wrapText="1"/>
    </xf>
    <xf numFmtId="4" fontId="104" fillId="3" borderId="45" xfId="0" applyNumberFormat="1" applyFont="1" applyFill="1" applyBorder="1" applyAlignment="1" applyProtection="1">
      <alignment horizontal="center" vertical="center" wrapText="1"/>
    </xf>
    <xf numFmtId="4" fontId="104" fillId="3" borderId="55" xfId="0" applyNumberFormat="1" applyFont="1" applyFill="1" applyBorder="1" applyAlignment="1" applyProtection="1">
      <alignment horizontal="center" vertical="center" wrapText="1"/>
    </xf>
    <xf numFmtId="4" fontId="104" fillId="3" borderId="80" xfId="0" applyNumberFormat="1" applyFont="1" applyFill="1" applyBorder="1" applyAlignment="1" applyProtection="1">
      <alignment horizontal="center" vertical="center" wrapText="1"/>
    </xf>
    <xf numFmtId="4" fontId="104" fillId="3" borderId="5" xfId="0" applyNumberFormat="1" applyFont="1" applyFill="1" applyBorder="1" applyAlignment="1" applyProtection="1">
      <alignment horizontal="center" vertical="center"/>
    </xf>
    <xf numFmtId="0" fontId="104" fillId="27" borderId="4" xfId="0" applyFont="1" applyFill="1" applyBorder="1" applyAlignment="1" applyProtection="1">
      <alignment horizontal="center" vertical="center" wrapText="1"/>
    </xf>
    <xf numFmtId="0" fontId="104" fillId="27" borderId="5" xfId="0" applyFont="1" applyFill="1" applyBorder="1" applyAlignment="1" applyProtection="1">
      <alignment horizontal="center" vertical="center" wrapText="1"/>
    </xf>
    <xf numFmtId="4" fontId="104" fillId="3" borderId="2" xfId="0" applyNumberFormat="1" applyFont="1" applyFill="1" applyBorder="1" applyAlignment="1" applyProtection="1">
      <alignment horizontal="center" vertical="center"/>
    </xf>
    <xf numFmtId="4" fontId="104" fillId="5" borderId="14" xfId="0" applyNumberFormat="1" applyFont="1" applyFill="1" applyBorder="1" applyAlignment="1" applyProtection="1">
      <alignment horizontal="center"/>
    </xf>
    <xf numFmtId="4" fontId="104" fillId="5" borderId="3" xfId="0" applyNumberFormat="1" applyFont="1" applyFill="1" applyBorder="1" applyAlignment="1" applyProtection="1">
      <alignment horizontal="center"/>
    </xf>
    <xf numFmtId="0" fontId="104" fillId="0" borderId="3" xfId="0" applyFont="1" applyBorder="1" applyAlignment="1" applyProtection="1">
      <alignment horizontal="center" vertical="center"/>
    </xf>
    <xf numFmtId="0" fontId="104" fillId="0" borderId="1" xfId="0" applyFont="1" applyBorder="1" applyAlignment="1" applyProtection="1">
      <alignment horizontal="center" vertical="center"/>
    </xf>
    <xf numFmtId="0" fontId="104" fillId="0" borderId="14" xfId="0" applyFont="1" applyFill="1" applyBorder="1" applyAlignment="1" applyProtection="1">
      <alignment horizontal="center" vertical="center" wrapText="1"/>
    </xf>
    <xf numFmtId="0" fontId="104" fillId="0" borderId="4" xfId="0" applyFont="1" applyFill="1" applyBorder="1" applyAlignment="1" applyProtection="1">
      <alignment horizontal="center" vertical="center" wrapText="1"/>
    </xf>
    <xf numFmtId="0" fontId="104" fillId="0" borderId="18" xfId="0" applyFont="1" applyFill="1" applyBorder="1" applyAlignment="1" applyProtection="1">
      <alignment horizontal="center" vertical="center" wrapText="1"/>
    </xf>
    <xf numFmtId="0" fontId="104" fillId="0" borderId="2" xfId="0" applyFont="1" applyFill="1" applyBorder="1" applyAlignment="1" applyProtection="1">
      <alignment horizontal="center" vertical="center" wrapText="1"/>
    </xf>
    <xf numFmtId="0" fontId="104" fillId="0" borderId="11" xfId="0" applyFont="1" applyFill="1" applyBorder="1" applyAlignment="1" applyProtection="1">
      <alignment horizontal="center" vertical="center" wrapText="1"/>
    </xf>
    <xf numFmtId="0" fontId="104" fillId="0" borderId="5" xfId="0" applyFont="1" applyFill="1" applyBorder="1" applyAlignment="1" applyProtection="1">
      <alignment horizontal="center" vertical="center" wrapText="1"/>
    </xf>
    <xf numFmtId="0" fontId="104" fillId="0" borderId="13" xfId="0" applyFont="1" applyFill="1" applyBorder="1" applyAlignment="1" applyProtection="1">
      <alignment horizontal="center" vertical="center" wrapText="1"/>
    </xf>
    <xf numFmtId="0" fontId="104" fillId="0" borderId="26" xfId="0" applyFont="1" applyFill="1" applyBorder="1" applyAlignment="1" applyProtection="1">
      <alignment horizontal="center" vertical="center" wrapText="1"/>
    </xf>
    <xf numFmtId="0" fontId="104" fillId="0" borderId="2" xfId="0" applyFont="1" applyBorder="1" applyAlignment="1" applyProtection="1">
      <alignment horizontal="center" vertical="center"/>
    </xf>
    <xf numFmtId="0" fontId="104" fillId="0" borderId="8" xfId="0" applyFont="1" applyBorder="1" applyAlignment="1" applyProtection="1">
      <alignment horizontal="center" vertical="center"/>
    </xf>
    <xf numFmtId="0" fontId="103" fillId="14" borderId="1" xfId="0" applyFont="1" applyFill="1" applyBorder="1" applyAlignment="1" applyProtection="1">
      <alignment horizontal="left" vertical="center" wrapText="1"/>
    </xf>
    <xf numFmtId="0" fontId="103" fillId="14" borderId="6" xfId="0" applyFont="1" applyFill="1" applyBorder="1" applyAlignment="1" applyProtection="1">
      <alignment horizontal="left" vertical="center" wrapText="1"/>
    </xf>
    <xf numFmtId="0" fontId="104" fillId="0" borderId="14" xfId="0" applyFont="1" applyBorder="1" applyAlignment="1" applyProtection="1">
      <alignment horizontal="center" vertical="center"/>
    </xf>
    <xf numFmtId="0" fontId="104" fillId="0" borderId="9" xfId="0" applyFont="1" applyBorder="1" applyAlignment="1" applyProtection="1">
      <alignment horizontal="center" vertical="center" wrapText="1"/>
    </xf>
    <xf numFmtId="0" fontId="104" fillId="0" borderId="42" xfId="0" applyFont="1" applyBorder="1" applyAlignment="1" applyProtection="1">
      <alignment horizontal="center" vertical="center" wrapText="1"/>
    </xf>
    <xf numFmtId="0" fontId="104" fillId="3" borderId="1" xfId="0" applyFont="1" applyFill="1" applyBorder="1" applyAlignment="1" applyProtection="1">
      <alignment vertical="center" wrapText="1"/>
    </xf>
    <xf numFmtId="4" fontId="104" fillId="3" borderId="9" xfId="0" applyNumberFormat="1" applyFont="1" applyFill="1" applyBorder="1" applyAlignment="1" applyProtection="1">
      <alignment horizontal="center" vertical="center" wrapText="1"/>
    </xf>
    <xf numFmtId="4" fontId="104" fillId="3" borderId="42" xfId="0" applyNumberFormat="1" applyFont="1" applyFill="1" applyBorder="1" applyAlignment="1" applyProtection="1">
      <alignment horizontal="center" vertical="center" wrapText="1"/>
    </xf>
    <xf numFmtId="0" fontId="7" fillId="0" borderId="61" xfId="7" applyFont="1" applyFill="1" applyBorder="1" applyAlignment="1" applyProtection="1">
      <alignment horizontal="left" vertical="center" wrapText="1"/>
      <protection locked="0"/>
    </xf>
    <xf numFmtId="4" fontId="119" fillId="3" borderId="1" xfId="7" applyNumberFormat="1" applyFont="1" applyFill="1" applyBorder="1" applyAlignment="1">
      <alignment horizontal="left" vertical="center" wrapText="1"/>
    </xf>
    <xf numFmtId="0" fontId="119" fillId="3" borderId="1" xfId="7" applyFont="1" applyFill="1" applyBorder="1" applyAlignment="1">
      <alignment horizontal="left" vertical="center" wrapText="1"/>
    </xf>
    <xf numFmtId="0" fontId="104" fillId="0" borderId="23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3" fontId="102" fillId="0" borderId="8" xfId="0" applyNumberFormat="1" applyFont="1" applyFill="1" applyBorder="1" applyAlignment="1" applyProtection="1">
      <alignment horizontal="right" vertical="center"/>
    </xf>
    <xf numFmtId="3" fontId="102" fillId="0" borderId="6" xfId="0" applyNumberFormat="1" applyFont="1" applyFill="1" applyBorder="1" applyAlignment="1" applyProtection="1">
      <alignment horizontal="right" vertical="center"/>
    </xf>
    <xf numFmtId="3" fontId="102" fillId="0" borderId="22" xfId="0" applyNumberFormat="1" applyFont="1" applyFill="1" applyBorder="1" applyAlignment="1" applyProtection="1">
      <alignment horizontal="right" vertical="center"/>
    </xf>
    <xf numFmtId="4" fontId="104" fillId="3" borderId="31" xfId="0" applyNumberFormat="1" applyFont="1" applyFill="1" applyBorder="1" applyAlignment="1" applyProtection="1">
      <alignment horizontal="center" vertical="center"/>
    </xf>
    <xf numFmtId="0" fontId="103" fillId="0" borderId="1" xfId="0" applyFont="1" applyFill="1" applyBorder="1" applyAlignment="1" applyProtection="1">
      <alignment horizontal="left" wrapText="1"/>
    </xf>
    <xf numFmtId="0" fontId="21" fillId="0" borderId="54" xfId="7" applyFont="1" applyFill="1" applyBorder="1" applyAlignment="1" applyProtection="1">
      <alignment horizontal="left" vertical="center" wrapText="1"/>
      <protection locked="0"/>
    </xf>
    <xf numFmtId="4" fontId="10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7" borderId="4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104" fillId="16" borderId="9" xfId="0" applyNumberFormat="1" applyFont="1" applyFill="1" applyBorder="1" applyAlignment="1" applyProtection="1">
      <alignment horizontal="center"/>
      <protection locked="0"/>
    </xf>
    <xf numFmtId="4" fontId="104" fillId="16" borderId="42" xfId="0" applyNumberFormat="1" applyFont="1" applyFill="1" applyBorder="1" applyAlignment="1" applyProtection="1">
      <alignment horizontal="center"/>
      <protection locked="0"/>
    </xf>
    <xf numFmtId="4" fontId="104" fillId="3" borderId="9" xfId="0" applyNumberFormat="1" applyFont="1" applyFill="1" applyBorder="1" applyAlignment="1" applyProtection="1">
      <alignment horizontal="center"/>
      <protection locked="0"/>
    </xf>
    <xf numFmtId="4" fontId="104" fillId="3" borderId="42" xfId="0" applyNumberFormat="1" applyFont="1" applyFill="1" applyBorder="1" applyAlignment="1" applyProtection="1">
      <alignment horizontal="center"/>
      <protection locked="0"/>
    </xf>
    <xf numFmtId="0" fontId="104" fillId="3" borderId="3" xfId="0" applyFont="1" applyFill="1" applyBorder="1" applyAlignment="1" applyProtection="1">
      <alignment horizontal="center" vertical="center" wrapText="1"/>
    </xf>
    <xf numFmtId="0" fontId="104" fillId="3" borderId="38" xfId="0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04" fillId="0" borderId="3" xfId="0" applyFont="1" applyBorder="1" applyAlignment="1">
      <alignment horizontal="center" vertical="center" wrapText="1"/>
    </xf>
    <xf numFmtId="0" fontId="104" fillId="0" borderId="4" xfId="0" applyFont="1" applyBorder="1" applyAlignment="1">
      <alignment horizontal="center" vertical="center" wrapText="1"/>
    </xf>
    <xf numFmtId="0" fontId="104" fillId="0" borderId="2" xfId="0" applyFont="1" applyBorder="1" applyAlignment="1">
      <alignment horizontal="center" vertical="center" wrapText="1"/>
    </xf>
    <xf numFmtId="0" fontId="104" fillId="0" borderId="5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0" fontId="104" fillId="3" borderId="16" xfId="0" applyFont="1" applyFill="1" applyBorder="1" applyAlignment="1" applyProtection="1">
      <alignment horizontal="center" vertical="center" wrapText="1"/>
    </xf>
    <xf numFmtId="0" fontId="104" fillId="3" borderId="19" xfId="0" applyFont="1" applyFill="1" applyBorder="1" applyAlignment="1" applyProtection="1">
      <alignment horizontal="center" vertical="center" wrapText="1"/>
    </xf>
    <xf numFmtId="4" fontId="104" fillId="3" borderId="22" xfId="0" applyNumberFormat="1" applyFont="1" applyFill="1" applyBorder="1" applyAlignment="1" applyProtection="1">
      <alignment horizontal="center"/>
      <protection locked="0"/>
    </xf>
    <xf numFmtId="4" fontId="104" fillId="3" borderId="43" xfId="0" applyNumberFormat="1" applyFont="1" applyFill="1" applyBorder="1" applyAlignment="1" applyProtection="1">
      <alignment horizontal="center"/>
      <protection locked="0"/>
    </xf>
    <xf numFmtId="4" fontId="104" fillId="5" borderId="78" xfId="0" applyNumberFormat="1" applyFont="1" applyFill="1" applyBorder="1" applyAlignment="1">
      <alignment horizontal="center" vertical="center"/>
    </xf>
    <xf numFmtId="4" fontId="104" fillId="5" borderId="61" xfId="0" applyNumberFormat="1" applyFont="1" applyFill="1" applyBorder="1" applyAlignment="1">
      <alignment horizontal="center" vertical="center"/>
    </xf>
    <xf numFmtId="4" fontId="104" fillId="5" borderId="51" xfId="0" applyNumberFormat="1" applyFont="1" applyFill="1" applyBorder="1" applyAlignment="1">
      <alignment horizontal="center" vertical="center"/>
    </xf>
    <xf numFmtId="4" fontId="104" fillId="5" borderId="74" xfId="0" applyNumberFormat="1" applyFont="1" applyFill="1" applyBorder="1" applyAlignment="1">
      <alignment horizontal="center" vertical="center"/>
    </xf>
    <xf numFmtId="4" fontId="104" fillId="5" borderId="62" xfId="0" applyNumberFormat="1" applyFont="1" applyFill="1" applyBorder="1" applyAlignment="1">
      <alignment horizontal="center" vertical="center"/>
    </xf>
    <xf numFmtId="4" fontId="104" fillId="5" borderId="41" xfId="0" applyNumberFormat="1" applyFont="1" applyFill="1" applyBorder="1" applyAlignment="1">
      <alignment horizontal="center" vertical="center"/>
    </xf>
    <xf numFmtId="0" fontId="104" fillId="3" borderId="14" xfId="0" applyFont="1" applyFill="1" applyBorder="1" applyAlignment="1" applyProtection="1">
      <alignment horizontal="center" vertical="center" wrapText="1"/>
      <protection locked="0"/>
    </xf>
    <xf numFmtId="0" fontId="104" fillId="3" borderId="2" xfId="0" applyFont="1" applyFill="1" applyBorder="1" applyAlignment="1" applyProtection="1">
      <alignment horizontal="center" vertical="center" wrapText="1"/>
      <protection locked="0"/>
    </xf>
    <xf numFmtId="0" fontId="104" fillId="3" borderId="38" xfId="0" applyFont="1" applyFill="1" applyBorder="1" applyAlignment="1" applyProtection="1">
      <alignment horizontal="center" vertical="center" wrapText="1"/>
      <protection locked="0"/>
    </xf>
    <xf numFmtId="0" fontId="104" fillId="3" borderId="9" xfId="0" applyFont="1" applyFill="1" applyBorder="1" applyAlignment="1" applyProtection="1">
      <alignment horizontal="center" vertical="center" wrapText="1"/>
      <protection locked="0"/>
    </xf>
    <xf numFmtId="0" fontId="104" fillId="3" borderId="1" xfId="0" applyFont="1" applyFill="1" applyBorder="1" applyAlignment="1">
      <alignment horizontal="center" vertical="center" wrapText="1"/>
    </xf>
    <xf numFmtId="0" fontId="160" fillId="0" borderId="0" xfId="0" applyFont="1" applyBorder="1" applyAlignment="1">
      <alignment horizontal="left"/>
    </xf>
    <xf numFmtId="0" fontId="104" fillId="0" borderId="3" xfId="0" applyFont="1" applyBorder="1" applyAlignment="1">
      <alignment horizontal="center" vertical="center"/>
    </xf>
    <xf numFmtId="0" fontId="104" fillId="0" borderId="38" xfId="0" applyFont="1" applyBorder="1" applyAlignment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/>
    </xf>
    <xf numFmtId="0" fontId="103" fillId="0" borderId="1" xfId="0" applyFont="1" applyFill="1" applyBorder="1" applyAlignment="1">
      <alignment horizontal="left" wrapText="1" indent="4"/>
    </xf>
    <xf numFmtId="0" fontId="103" fillId="0" borderId="6" xfId="0" applyFont="1" applyFill="1" applyBorder="1" applyAlignment="1">
      <alignment horizontal="left" wrapText="1" indent="4"/>
    </xf>
    <xf numFmtId="0" fontId="104" fillId="6" borderId="3" xfId="0" applyFont="1" applyFill="1" applyBorder="1" applyAlignment="1">
      <alignment horizontal="left" wrapText="1"/>
    </xf>
    <xf numFmtId="4" fontId="104" fillId="5" borderId="38" xfId="0" applyNumberFormat="1" applyFont="1" applyFill="1" applyBorder="1" applyAlignment="1">
      <alignment horizontal="center"/>
    </xf>
    <xf numFmtId="4" fontId="104" fillId="5" borderId="36" xfId="0" applyNumberFormat="1" applyFont="1" applyFill="1" applyBorder="1" applyAlignment="1">
      <alignment horizontal="center"/>
    </xf>
    <xf numFmtId="182" fontId="103" fillId="20" borderId="46" xfId="0" applyNumberFormat="1" applyFont="1" applyFill="1" applyBorder="1" applyAlignment="1" applyProtection="1">
      <alignment horizontal="left" vertical="center" wrapText="1"/>
    </xf>
    <xf numFmtId="182" fontId="103" fillId="20" borderId="73" xfId="0" applyNumberFormat="1" applyFont="1" applyFill="1" applyBorder="1" applyAlignment="1" applyProtection="1">
      <alignment horizontal="left" vertical="center" wrapText="1"/>
    </xf>
    <xf numFmtId="182" fontId="103" fillId="20" borderId="40" xfId="0" applyNumberFormat="1" applyFont="1" applyFill="1" applyBorder="1" applyAlignment="1" applyProtection="1">
      <alignment horizontal="left" vertical="center" wrapText="1"/>
    </xf>
    <xf numFmtId="0" fontId="104" fillId="3" borderId="14" xfId="0" applyFont="1" applyFill="1" applyBorder="1" applyAlignment="1">
      <alignment horizontal="center" vertical="center" wrapText="1"/>
    </xf>
    <xf numFmtId="0" fontId="104" fillId="0" borderId="16" xfId="0" applyFont="1" applyBorder="1" applyAlignment="1">
      <alignment horizontal="center"/>
    </xf>
    <xf numFmtId="0" fontId="104" fillId="0" borderId="19" xfId="0" applyFont="1" applyBorder="1" applyAlignment="1">
      <alignment horizontal="center"/>
    </xf>
    <xf numFmtId="0" fontId="87" fillId="0" borderId="0" xfId="0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104" fillId="0" borderId="46" xfId="0" applyFont="1" applyBorder="1" applyAlignment="1">
      <alignment horizontal="center"/>
    </xf>
    <xf numFmtId="0" fontId="104" fillId="0" borderId="40" xfId="0" applyFont="1" applyBorder="1" applyAlignment="1">
      <alignment horizontal="center"/>
    </xf>
    <xf numFmtId="0" fontId="104" fillId="0" borderId="22" xfId="0" applyFont="1" applyBorder="1" applyAlignment="1">
      <alignment horizontal="center" vertical="center" wrapText="1"/>
    </xf>
    <xf numFmtId="0" fontId="104" fillId="0" borderId="43" xfId="0" applyFont="1" applyBorder="1" applyAlignment="1">
      <alignment horizontal="center" vertical="center" wrapText="1"/>
    </xf>
    <xf numFmtId="0" fontId="104" fillId="3" borderId="13" xfId="0" applyFont="1" applyFill="1" applyBorder="1" applyAlignment="1">
      <alignment horizontal="center" vertical="center" wrapText="1"/>
    </xf>
    <xf numFmtId="0" fontId="104" fillId="3" borderId="12" xfId="0" applyFont="1" applyFill="1" applyBorder="1" applyAlignment="1">
      <alignment horizontal="center" vertical="center" wrapText="1"/>
    </xf>
    <xf numFmtId="4" fontId="104" fillId="5" borderId="18" xfId="0" applyNumberFormat="1" applyFont="1" applyFill="1" applyBorder="1" applyAlignment="1">
      <alignment horizontal="center"/>
    </xf>
    <xf numFmtId="0" fontId="104" fillId="0" borderId="14" xfId="0" applyFont="1" applyBorder="1" applyAlignment="1">
      <alignment horizontal="center" vertical="center"/>
    </xf>
    <xf numFmtId="0" fontId="104" fillId="0" borderId="8" xfId="0" applyFont="1" applyBorder="1" applyAlignment="1">
      <alignment horizontal="center" vertical="center"/>
    </xf>
    <xf numFmtId="0" fontId="21" fillId="0" borderId="0" xfId="7" applyFont="1" applyFill="1" applyBorder="1" applyAlignment="1">
      <alignment horizontal="left" vertical="center" wrapText="1"/>
    </xf>
    <xf numFmtId="0" fontId="104" fillId="0" borderId="15" xfId="0" applyFont="1" applyBorder="1" applyAlignment="1">
      <alignment horizontal="center"/>
    </xf>
    <xf numFmtId="0" fontId="104" fillId="0" borderId="7" xfId="0" applyFont="1" applyBorder="1" applyAlignment="1">
      <alignment horizontal="center" vertical="center" wrapText="1"/>
    </xf>
    <xf numFmtId="0" fontId="104" fillId="0" borderId="6" xfId="0" applyFont="1" applyBorder="1" applyAlignment="1">
      <alignment horizontal="center" vertical="center"/>
    </xf>
    <xf numFmtId="4" fontId="104" fillId="3" borderId="5" xfId="0" applyNumberFormat="1" applyFont="1" applyFill="1" applyBorder="1" applyAlignment="1">
      <alignment horizontal="center" vertical="center" wrapText="1"/>
    </xf>
    <xf numFmtId="0" fontId="104" fillId="20" borderId="46" xfId="0" applyFont="1" applyFill="1" applyBorder="1" applyAlignment="1">
      <alignment horizontal="center" vertical="center" wrapText="1"/>
    </xf>
    <xf numFmtId="0" fontId="104" fillId="20" borderId="40" xfId="0" applyFont="1" applyFill="1" applyBorder="1" applyAlignment="1">
      <alignment horizontal="center" vertical="center" wrapText="1"/>
    </xf>
    <xf numFmtId="182" fontId="104" fillId="3" borderId="1" xfId="0" applyNumberFormat="1" applyFont="1" applyFill="1" applyBorder="1" applyAlignment="1" applyProtection="1">
      <alignment horizontal="right" vertical="center"/>
    </xf>
    <xf numFmtId="182" fontId="104" fillId="3" borderId="9" xfId="0" applyNumberFormat="1" applyFont="1" applyFill="1" applyBorder="1" applyAlignment="1" applyProtection="1">
      <alignment horizontal="right" vertical="center"/>
    </xf>
    <xf numFmtId="182" fontId="103" fillId="3" borderId="77" xfId="0" applyNumberFormat="1" applyFont="1" applyFill="1" applyBorder="1" applyAlignment="1" applyProtection="1">
      <alignment horizontal="center" wrapText="1"/>
    </xf>
    <xf numFmtId="182" fontId="103" fillId="3" borderId="76" xfId="0" applyNumberFormat="1" applyFont="1" applyFill="1" applyBorder="1" applyAlignment="1" applyProtection="1">
      <alignment horizontal="center" wrapText="1"/>
    </xf>
    <xf numFmtId="0" fontId="104" fillId="0" borderId="39" xfId="0" applyFont="1" applyBorder="1" applyAlignment="1">
      <alignment horizontal="center" vertical="center" wrapText="1"/>
    </xf>
    <xf numFmtId="0" fontId="104" fillId="0" borderId="37" xfId="0" applyFont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 wrapText="1"/>
    </xf>
    <xf numFmtId="0" fontId="104" fillId="0" borderId="29" xfId="0" applyFont="1" applyBorder="1" applyAlignment="1">
      <alignment horizontal="center" vertical="center" wrapText="1"/>
    </xf>
    <xf numFmtId="0" fontId="104" fillId="0" borderId="25" xfId="0" applyFont="1" applyBorder="1" applyAlignment="1">
      <alignment horizontal="center" vertical="center" wrapText="1"/>
    </xf>
    <xf numFmtId="0" fontId="104" fillId="0" borderId="41" xfId="0" applyFont="1" applyBorder="1" applyAlignment="1">
      <alignment horizontal="center" vertical="center" wrapText="1"/>
    </xf>
    <xf numFmtId="0" fontId="104" fillId="6" borderId="3" xfId="0" applyFont="1" applyFill="1" applyBorder="1" applyAlignment="1" applyProtection="1">
      <alignment horizontal="left" wrapText="1"/>
    </xf>
    <xf numFmtId="182" fontId="104" fillId="3" borderId="1" xfId="0" applyNumberFormat="1" applyFont="1" applyFill="1" applyBorder="1" applyAlignment="1" applyProtection="1">
      <alignment horizontal="center" vertical="center"/>
    </xf>
    <xf numFmtId="0" fontId="104" fillId="0" borderId="12" xfId="0" applyFont="1" applyBorder="1" applyAlignment="1" applyProtection="1">
      <alignment horizontal="center" vertical="center"/>
    </xf>
    <xf numFmtId="0" fontId="104" fillId="0" borderId="3" xfId="0" applyFont="1" applyBorder="1" applyAlignment="1" applyProtection="1">
      <alignment horizontal="center" vertical="center" wrapText="1"/>
    </xf>
    <xf numFmtId="0" fontId="104" fillId="0" borderId="12" xfId="0" applyFont="1" applyBorder="1" applyAlignment="1" applyProtection="1">
      <alignment horizontal="center" vertical="center" wrapText="1"/>
    </xf>
    <xf numFmtId="0" fontId="104" fillId="0" borderId="16" xfId="0" applyFont="1" applyBorder="1" applyAlignment="1" applyProtection="1">
      <alignment horizontal="center"/>
    </xf>
    <xf numFmtId="182" fontId="103" fillId="19" borderId="46" xfId="0" applyNumberFormat="1" applyFont="1" applyFill="1" applyBorder="1" applyAlignment="1" applyProtection="1">
      <alignment horizontal="left" vertical="center" wrapText="1"/>
    </xf>
    <xf numFmtId="182" fontId="103" fillId="19" borderId="73" xfId="0" applyNumberFormat="1" applyFont="1" applyFill="1" applyBorder="1" applyAlignment="1" applyProtection="1">
      <alignment horizontal="left" vertical="center" wrapText="1"/>
    </xf>
    <xf numFmtId="182" fontId="103" fillId="19" borderId="40" xfId="0" applyNumberFormat="1" applyFont="1" applyFill="1" applyBorder="1" applyAlignment="1" applyProtection="1">
      <alignment horizontal="left" vertical="center" wrapText="1"/>
    </xf>
    <xf numFmtId="0" fontId="104" fillId="19" borderId="46" xfId="0" applyFont="1" applyFill="1" applyBorder="1" applyAlignment="1">
      <alignment horizontal="center" vertical="center" wrapText="1"/>
    </xf>
    <xf numFmtId="0" fontId="104" fillId="19" borderId="40" xfId="0" applyFont="1" applyFill="1" applyBorder="1" applyAlignment="1">
      <alignment horizontal="center" vertical="center" wrapText="1"/>
    </xf>
    <xf numFmtId="182" fontId="104" fillId="5" borderId="3" xfId="0" applyNumberFormat="1" applyFont="1" applyFill="1" applyBorder="1" applyAlignment="1" applyProtection="1">
      <alignment horizontal="center"/>
    </xf>
    <xf numFmtId="0" fontId="103" fillId="0" borderId="6" xfId="0" applyFont="1" applyFill="1" applyBorder="1" applyAlignment="1" applyProtection="1">
      <alignment horizontal="left" wrapText="1"/>
    </xf>
    <xf numFmtId="182" fontId="104" fillId="5" borderId="3" xfId="0" applyNumberFormat="1" applyFont="1" applyFill="1" applyBorder="1" applyAlignment="1" applyProtection="1">
      <alignment horizontal="center" vertical="center"/>
    </xf>
    <xf numFmtId="0" fontId="104" fillId="0" borderId="39" xfId="0" applyFont="1" applyFill="1" applyBorder="1" applyAlignment="1">
      <alignment horizontal="left" vertical="center" wrapText="1"/>
    </xf>
    <xf numFmtId="0" fontId="104" fillId="0" borderId="21" xfId="0" applyFont="1" applyFill="1" applyBorder="1" applyAlignment="1">
      <alignment horizontal="left" vertical="center" wrapText="1"/>
    </xf>
    <xf numFmtId="0" fontId="104" fillId="0" borderId="37" xfId="0" applyFont="1" applyFill="1" applyBorder="1" applyAlignment="1">
      <alignment horizontal="left" vertical="center" wrapText="1"/>
    </xf>
    <xf numFmtId="0" fontId="104" fillId="0" borderId="28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 horizontal="left" vertical="center" wrapText="1"/>
    </xf>
    <xf numFmtId="0" fontId="104" fillId="0" borderId="29" xfId="0" applyFont="1" applyFill="1" applyBorder="1" applyAlignment="1">
      <alignment horizontal="left" vertical="center" wrapText="1"/>
    </xf>
    <xf numFmtId="0" fontId="104" fillId="0" borderId="25" xfId="0" applyFont="1" applyFill="1" applyBorder="1" applyAlignment="1">
      <alignment horizontal="left" vertical="center" wrapText="1"/>
    </xf>
    <xf numFmtId="0" fontId="104" fillId="0" borderId="62" xfId="0" applyFont="1" applyFill="1" applyBorder="1" applyAlignment="1">
      <alignment horizontal="left" vertical="center" wrapText="1"/>
    </xf>
    <xf numFmtId="0" fontId="104" fillId="0" borderId="41" xfId="0" applyFont="1" applyFill="1" applyBorder="1" applyAlignment="1">
      <alignment horizontal="left" vertical="center" wrapText="1"/>
    </xf>
    <xf numFmtId="4" fontId="104" fillId="5" borderId="2" xfId="0" applyNumberFormat="1" applyFont="1" applyFill="1" applyBorder="1" applyAlignment="1" applyProtection="1">
      <alignment horizontal="center" vertical="center" wrapText="1"/>
    </xf>
    <xf numFmtId="0" fontId="102" fillId="0" borderId="48" xfId="0" applyFont="1" applyFill="1" applyBorder="1" applyAlignment="1" applyProtection="1">
      <alignment horizontal="center" wrapText="1"/>
    </xf>
    <xf numFmtId="0" fontId="104" fillId="0" borderId="13" xfId="0" applyFont="1" applyBorder="1" applyAlignment="1" applyProtection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04" fillId="3" borderId="36" xfId="0" applyFont="1" applyFill="1" applyBorder="1" applyAlignment="1" applyProtection="1">
      <alignment horizontal="center" vertical="center" wrapText="1"/>
      <protection locked="0"/>
    </xf>
    <xf numFmtId="0" fontId="104" fillId="3" borderId="42" xfId="0" applyFont="1" applyFill="1" applyBorder="1" applyAlignment="1" applyProtection="1">
      <alignment horizontal="center" vertical="center" wrapText="1"/>
      <protection locked="0"/>
    </xf>
    <xf numFmtId="0" fontId="104" fillId="0" borderId="5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4" fillId="0" borderId="2" xfId="0" applyFont="1" applyBorder="1" applyAlignment="1">
      <alignment horizontal="center" vertical="center"/>
    </xf>
    <xf numFmtId="4" fontId="104" fillId="5" borderId="14" xfId="0" applyNumberFormat="1" applyFont="1" applyFill="1" applyBorder="1" applyAlignment="1" applyProtection="1">
      <alignment horizontal="center" vertical="center" wrapText="1"/>
    </xf>
    <xf numFmtId="4" fontId="10" fillId="3" borderId="68" xfId="7" applyNumberFormat="1" applyFont="1" applyFill="1" applyBorder="1" applyAlignment="1" applyProtection="1">
      <alignment horizontal="center" vertical="center" wrapText="1"/>
    </xf>
    <xf numFmtId="4" fontId="10" fillId="3" borderId="36" xfId="7" applyNumberFormat="1" applyFont="1" applyFill="1" applyBorder="1" applyAlignment="1" applyProtection="1">
      <alignment horizontal="center" vertical="center" wrapText="1"/>
    </xf>
    <xf numFmtId="4" fontId="104" fillId="3" borderId="1" xfId="0" applyNumberFormat="1" applyFont="1" applyFill="1" applyBorder="1" applyAlignment="1" applyProtection="1">
      <alignment horizontal="center" vertical="center" wrapText="1"/>
    </xf>
    <xf numFmtId="4" fontId="102" fillId="3" borderId="40" xfId="0" applyNumberFormat="1" applyFont="1" applyFill="1" applyBorder="1" applyAlignment="1" applyProtection="1">
      <alignment horizontal="right" vertical="center"/>
    </xf>
    <xf numFmtId="4" fontId="102" fillId="3" borderId="16" xfId="0" applyNumberFormat="1" applyFont="1" applyFill="1" applyBorder="1" applyAlignment="1" applyProtection="1">
      <alignment horizontal="right" vertical="center"/>
    </xf>
    <xf numFmtId="180" fontId="104" fillId="5" borderId="42" xfId="0" applyNumberFormat="1" applyFont="1" applyFill="1" applyBorder="1" applyAlignment="1" applyProtection="1">
      <alignment horizontal="center" vertical="center" wrapText="1"/>
    </xf>
    <xf numFmtId="180" fontId="104" fillId="5" borderId="1" xfId="0" applyNumberFormat="1" applyFont="1" applyFill="1" applyBorder="1" applyAlignment="1" applyProtection="1">
      <alignment horizontal="center" vertical="center"/>
    </xf>
    <xf numFmtId="180" fontId="104" fillId="5" borderId="43" xfId="0" applyNumberFormat="1" applyFont="1" applyFill="1" applyBorder="1" applyAlignment="1" applyProtection="1">
      <alignment horizontal="center" vertical="center"/>
    </xf>
    <xf numFmtId="180" fontId="104" fillId="5" borderId="6" xfId="0" applyNumberFormat="1" applyFont="1" applyFill="1" applyBorder="1" applyAlignment="1" applyProtection="1">
      <alignment horizontal="center" vertical="center"/>
    </xf>
    <xf numFmtId="4" fontId="104" fillId="5" borderId="8" xfId="0" applyNumberFormat="1" applyFont="1" applyFill="1" applyBorder="1" applyAlignment="1" applyProtection="1">
      <alignment horizontal="center" vertical="center" wrapText="1"/>
    </xf>
    <xf numFmtId="4" fontId="104" fillId="5" borderId="6" xfId="0" applyNumberFormat="1" applyFont="1" applyFill="1" applyBorder="1" applyAlignment="1" applyProtection="1">
      <alignment horizontal="center" vertical="center" wrapText="1"/>
    </xf>
    <xf numFmtId="4" fontId="104" fillId="5" borderId="9" xfId="0" applyNumberFormat="1" applyFont="1" applyFill="1" applyBorder="1" applyAlignment="1" applyProtection="1">
      <alignment horizontal="center" vertical="center" wrapText="1"/>
    </xf>
    <xf numFmtId="4" fontId="104" fillId="5" borderId="42" xfId="0" applyNumberFormat="1" applyFont="1" applyFill="1" applyBorder="1" applyAlignment="1" applyProtection="1">
      <alignment horizontal="center" vertical="center" wrapText="1"/>
    </xf>
    <xf numFmtId="4" fontId="104" fillId="5" borderId="22" xfId="0" applyNumberFormat="1" applyFont="1" applyFill="1" applyBorder="1" applyAlignment="1" applyProtection="1">
      <alignment horizontal="center" vertical="center" wrapText="1"/>
    </xf>
    <xf numFmtId="4" fontId="104" fillId="5" borderId="43" xfId="0" applyNumberFormat="1" applyFont="1" applyFill="1" applyBorder="1" applyAlignment="1" applyProtection="1">
      <alignment horizontal="center" vertical="center" wrapText="1"/>
    </xf>
    <xf numFmtId="4" fontId="102" fillId="5" borderId="40" xfId="0" applyNumberFormat="1" applyFont="1" applyFill="1" applyBorder="1" applyAlignment="1" applyProtection="1">
      <alignment horizontal="right" vertical="center"/>
    </xf>
    <xf numFmtId="4" fontId="102" fillId="5" borderId="16" xfId="0" applyNumberFormat="1" applyFont="1" applyFill="1" applyBorder="1" applyAlignment="1" applyProtection="1">
      <alignment horizontal="right" vertical="center"/>
    </xf>
    <xf numFmtId="4" fontId="104" fillId="5" borderId="1" xfId="0" applyNumberFormat="1" applyFont="1" applyFill="1" applyBorder="1" applyAlignment="1" applyProtection="1">
      <alignment horizontal="center" vertical="center"/>
    </xf>
    <xf numFmtId="180" fontId="103" fillId="5" borderId="1" xfId="0" applyNumberFormat="1" applyFont="1" applyFill="1" applyBorder="1" applyAlignment="1" applyProtection="1">
      <alignment horizontal="center"/>
    </xf>
    <xf numFmtId="4" fontId="104" fillId="3" borderId="36" xfId="0" applyNumberFormat="1" applyFont="1" applyFill="1" applyBorder="1" applyAlignment="1" applyProtection="1">
      <alignment horizontal="center" vertical="center"/>
    </xf>
    <xf numFmtId="4" fontId="104" fillId="3" borderId="3" xfId="0" applyNumberFormat="1" applyFont="1" applyFill="1" applyBorder="1" applyAlignment="1" applyProtection="1">
      <alignment horizontal="center" vertical="center"/>
    </xf>
    <xf numFmtId="4" fontId="104" fillId="3" borderId="4" xfId="0" applyNumberFormat="1" applyFont="1" applyFill="1" applyBorder="1" applyAlignment="1" applyProtection="1">
      <alignment horizontal="center" vertical="center"/>
    </xf>
    <xf numFmtId="180" fontId="103" fillId="5" borderId="22" xfId="0" applyNumberFormat="1" applyFont="1" applyFill="1" applyBorder="1" applyAlignment="1" applyProtection="1">
      <alignment horizontal="center"/>
    </xf>
    <xf numFmtId="180" fontId="103" fillId="5" borderId="76" xfId="0" applyNumberFormat="1" applyFont="1" applyFill="1" applyBorder="1" applyAlignment="1" applyProtection="1">
      <alignment horizontal="center"/>
    </xf>
    <xf numFmtId="180" fontId="103" fillId="5" borderId="43" xfId="0" applyNumberFormat="1" applyFont="1" applyFill="1" applyBorder="1" applyAlignment="1" applyProtection="1">
      <alignment horizontal="center"/>
    </xf>
    <xf numFmtId="4" fontId="104" fillId="3" borderId="5" xfId="0" applyNumberFormat="1" applyFont="1" applyFill="1" applyBorder="1" applyAlignment="1" applyProtection="1">
      <alignment horizontal="center" vertical="center" wrapText="1"/>
    </xf>
    <xf numFmtId="180" fontId="104" fillId="5" borderId="9" xfId="0" applyNumberFormat="1" applyFont="1" applyFill="1" applyBorder="1" applyAlignment="1" applyProtection="1">
      <alignment horizontal="center"/>
    </xf>
    <xf numFmtId="180" fontId="104" fillId="5" borderId="42" xfId="0" applyNumberFormat="1" applyFont="1" applyFill="1" applyBorder="1" applyAlignment="1" applyProtection="1">
      <alignment horizontal="center"/>
    </xf>
    <xf numFmtId="4" fontId="104" fillId="5" borderId="46" xfId="0" applyNumberFormat="1" applyFont="1" applyFill="1" applyBorder="1" applyAlignment="1" applyProtection="1">
      <alignment horizontal="center"/>
    </xf>
    <xf numFmtId="4" fontId="104" fillId="5" borderId="40" xfId="0" applyNumberFormat="1" applyFont="1" applyFill="1" applyBorder="1" applyAlignment="1" applyProtection="1">
      <alignment horizontal="center"/>
    </xf>
    <xf numFmtId="4" fontId="104" fillId="3" borderId="46" xfId="0" applyNumberFormat="1" applyFont="1" applyFill="1" applyBorder="1" applyAlignment="1" applyProtection="1">
      <alignment horizontal="center"/>
      <protection locked="0"/>
    </xf>
    <xf numFmtId="4" fontId="104" fillId="3" borderId="40" xfId="0" applyNumberFormat="1" applyFont="1" applyFill="1" applyBorder="1" applyAlignment="1" applyProtection="1">
      <alignment horizontal="center"/>
      <protection locked="0"/>
    </xf>
    <xf numFmtId="182" fontId="103" fillId="5" borderId="9" xfId="0" applyNumberFormat="1" applyFont="1" applyFill="1" applyBorder="1" applyAlignment="1" applyProtection="1">
      <alignment horizontal="center"/>
    </xf>
    <xf numFmtId="182" fontId="103" fillId="5" borderId="42" xfId="0" applyNumberFormat="1" applyFont="1" applyFill="1" applyBorder="1" applyAlignment="1" applyProtection="1">
      <alignment horizontal="center"/>
    </xf>
    <xf numFmtId="4" fontId="104" fillId="3" borderId="38" xfId="0" applyNumberFormat="1" applyFont="1" applyFill="1" applyBorder="1" applyAlignment="1" applyProtection="1">
      <alignment horizontal="center"/>
      <protection locked="0"/>
    </xf>
    <xf numFmtId="4" fontId="104" fillId="3" borderId="36" xfId="0" applyNumberFormat="1" applyFont="1" applyFill="1" applyBorder="1" applyAlignment="1" applyProtection="1">
      <alignment horizontal="center"/>
      <protection locked="0"/>
    </xf>
    <xf numFmtId="4" fontId="104" fillId="5" borderId="9" xfId="0" applyNumberFormat="1" applyFont="1" applyFill="1" applyBorder="1" applyAlignment="1" applyProtection="1">
      <alignment horizontal="center" vertical="center"/>
    </xf>
    <xf numFmtId="4" fontId="104" fillId="5" borderId="42" xfId="0" applyNumberFormat="1" applyFont="1" applyFill="1" applyBorder="1" applyAlignment="1" applyProtection="1">
      <alignment horizontal="center" vertical="center"/>
    </xf>
    <xf numFmtId="4" fontId="10" fillId="3" borderId="1" xfId="7" applyNumberFormat="1" applyFont="1" applyFill="1" applyBorder="1" applyAlignment="1" applyProtection="1">
      <alignment horizontal="left" vertical="center" wrapText="1"/>
    </xf>
    <xf numFmtId="182" fontId="103" fillId="5" borderId="43" xfId="0" applyNumberFormat="1" applyFont="1" applyFill="1" applyBorder="1" applyAlignment="1" applyProtection="1">
      <alignment horizontal="center"/>
    </xf>
    <xf numFmtId="0" fontId="104" fillId="0" borderId="1" xfId="0" applyFont="1" applyFill="1" applyBorder="1" applyAlignment="1" applyProtection="1">
      <alignment horizontal="left" vertical="center" wrapText="1"/>
    </xf>
    <xf numFmtId="0" fontId="104" fillId="0" borderId="9" xfId="0" applyFont="1" applyFill="1" applyBorder="1" applyAlignment="1">
      <alignment horizontal="left" vertical="center" wrapText="1"/>
    </xf>
    <xf numFmtId="0" fontId="104" fillId="0" borderId="52" xfId="0" applyFont="1" applyFill="1" applyBorder="1" applyAlignment="1">
      <alignment horizontal="left" vertical="center" wrapText="1"/>
    </xf>
    <xf numFmtId="0" fontId="104" fillId="0" borderId="57" xfId="0" applyFont="1" applyFill="1" applyBorder="1" applyAlignment="1">
      <alignment horizontal="left" vertical="center" wrapText="1"/>
    </xf>
    <xf numFmtId="4" fontId="10" fillId="3" borderId="1" xfId="7" applyNumberFormat="1" applyFont="1" applyFill="1" applyBorder="1" applyAlignment="1" applyProtection="1">
      <alignment horizontal="center" vertical="center" wrapText="1"/>
    </xf>
    <xf numFmtId="0" fontId="104" fillId="3" borderId="1" xfId="0" applyFont="1" applyFill="1" applyBorder="1" applyAlignment="1">
      <alignment horizontal="left" vertical="center" wrapText="1"/>
    </xf>
    <xf numFmtId="0" fontId="104" fillId="3" borderId="9" xfId="0" applyFont="1" applyFill="1" applyBorder="1" applyAlignment="1">
      <alignment horizontal="left" vertical="center" wrapText="1"/>
    </xf>
    <xf numFmtId="0" fontId="103" fillId="3" borderId="6" xfId="0" applyFont="1" applyFill="1" applyBorder="1" applyAlignment="1">
      <alignment horizontal="left" vertical="center" wrapText="1"/>
    </xf>
    <xf numFmtId="0" fontId="103" fillId="3" borderId="2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82" fontId="92" fillId="0" borderId="0" xfId="0" applyNumberFormat="1" applyFont="1" applyFill="1" applyBorder="1" applyAlignment="1" applyProtection="1">
      <alignment horizontal="right"/>
    </xf>
    <xf numFmtId="4" fontId="10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04" fillId="3" borderId="42" xfId="0" applyNumberFormat="1" applyFont="1" applyFill="1" applyBorder="1" applyAlignment="1" applyProtection="1">
      <alignment horizontal="center" vertical="center" wrapText="1"/>
      <protection locked="0"/>
    </xf>
    <xf numFmtId="4" fontId="104" fillId="5" borderId="78" xfId="0" applyNumberFormat="1" applyFont="1" applyFill="1" applyBorder="1" applyAlignment="1" applyProtection="1">
      <alignment horizontal="center" vertical="center" wrapText="1"/>
    </xf>
    <xf numFmtId="4" fontId="104" fillId="5" borderId="61" xfId="0" applyNumberFormat="1" applyFont="1" applyFill="1" applyBorder="1" applyAlignment="1" applyProtection="1">
      <alignment horizontal="center" vertical="center" wrapText="1"/>
    </xf>
    <xf numFmtId="4" fontId="104" fillId="5" borderId="63" xfId="0" applyNumberFormat="1" applyFont="1" applyFill="1" applyBorder="1" applyAlignment="1" applyProtection="1">
      <alignment horizontal="center" vertical="center" wrapText="1"/>
    </xf>
    <xf numFmtId="4" fontId="104" fillId="5" borderId="74" xfId="0" applyNumberFormat="1" applyFont="1" applyFill="1" applyBorder="1" applyAlignment="1" applyProtection="1">
      <alignment horizontal="center" vertical="center" wrapText="1"/>
    </xf>
    <xf numFmtId="4" fontId="104" fillId="5" borderId="62" xfId="0" applyNumberFormat="1" applyFont="1" applyFill="1" applyBorder="1" applyAlignment="1" applyProtection="1">
      <alignment horizontal="center" vertical="center" wrapText="1"/>
    </xf>
    <xf numFmtId="4" fontId="104" fillId="5" borderId="64" xfId="0" applyNumberFormat="1" applyFont="1" applyFill="1" applyBorder="1" applyAlignment="1" applyProtection="1">
      <alignment horizontal="center" vertical="center" wrapText="1"/>
    </xf>
    <xf numFmtId="4" fontId="104" fillId="5" borderId="31" xfId="0" applyNumberFormat="1" applyFont="1" applyFill="1" applyBorder="1" applyAlignment="1" applyProtection="1">
      <alignment horizontal="center" vertical="center" wrapText="1"/>
    </xf>
    <xf numFmtId="4" fontId="104" fillId="5" borderId="52" xfId="0" applyNumberFormat="1" applyFont="1" applyFill="1" applyBorder="1" applyAlignment="1" applyProtection="1">
      <alignment horizontal="center" vertical="center" wrapText="1"/>
    </xf>
    <xf numFmtId="4" fontId="104" fillId="5" borderId="57" xfId="0" applyNumberFormat="1" applyFont="1" applyFill="1" applyBorder="1" applyAlignment="1" applyProtection="1">
      <alignment horizontal="center" vertical="center" wrapText="1"/>
    </xf>
    <xf numFmtId="4" fontId="104" fillId="15" borderId="9" xfId="0" applyNumberFormat="1" applyFont="1" applyFill="1" applyBorder="1" applyAlignment="1" applyProtection="1">
      <alignment horizontal="center" vertical="center"/>
    </xf>
    <xf numFmtId="4" fontId="104" fillId="15" borderId="42" xfId="0" applyNumberFormat="1" applyFont="1" applyFill="1" applyBorder="1" applyAlignment="1" applyProtection="1">
      <alignment horizontal="center" vertical="center"/>
    </xf>
    <xf numFmtId="4" fontId="104" fillId="3" borderId="22" xfId="0" applyNumberFormat="1" applyFont="1" applyFill="1" applyBorder="1" applyAlignment="1" applyProtection="1">
      <alignment horizontal="center" vertical="center" wrapText="1"/>
    </xf>
    <xf numFmtId="4" fontId="104" fillId="3" borderId="43" xfId="0" applyNumberFormat="1" applyFont="1" applyFill="1" applyBorder="1" applyAlignment="1" applyProtection="1">
      <alignment horizontal="center" vertical="center" wrapText="1"/>
    </xf>
    <xf numFmtId="0" fontId="104" fillId="0" borderId="48" xfId="0" applyFont="1" applyBorder="1" applyAlignment="1">
      <alignment horizontal="center" vertical="center"/>
    </xf>
    <xf numFmtId="0" fontId="104" fillId="0" borderId="50" xfId="0" applyFont="1" applyBorder="1" applyAlignment="1">
      <alignment horizontal="center" vertical="center"/>
    </xf>
    <xf numFmtId="0" fontId="104" fillId="0" borderId="10" xfId="0" applyFont="1" applyFill="1" applyBorder="1" applyAlignment="1">
      <alignment horizontal="left" vertical="center" wrapText="1"/>
    </xf>
    <xf numFmtId="4" fontId="104" fillId="3" borderId="38" xfId="0" applyNumberFormat="1" applyFont="1" applyFill="1" applyBorder="1" applyAlignment="1" applyProtection="1">
      <alignment horizontal="center" vertical="center" wrapText="1"/>
      <protection locked="0"/>
    </xf>
    <xf numFmtId="4" fontId="104" fillId="3" borderId="36" xfId="0" applyNumberFormat="1" applyFont="1" applyFill="1" applyBorder="1" applyAlignment="1" applyProtection="1">
      <alignment horizontal="center" vertical="center" wrapText="1"/>
      <protection locked="0"/>
    </xf>
    <xf numFmtId="4" fontId="104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104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9" xfId="0" applyFont="1" applyFill="1" applyBorder="1" applyAlignment="1">
      <alignment horizontal="center" vertical="center" wrapText="1"/>
    </xf>
    <xf numFmtId="0" fontId="104" fillId="0" borderId="52" xfId="0" applyFont="1" applyFill="1" applyBorder="1" applyAlignment="1">
      <alignment horizontal="center" vertical="center" wrapText="1"/>
    </xf>
    <xf numFmtId="0" fontId="104" fillId="0" borderId="57" xfId="0" applyFont="1" applyFill="1" applyBorder="1" applyAlignment="1">
      <alignment horizontal="center" vertical="center" wrapText="1"/>
    </xf>
    <xf numFmtId="0" fontId="9" fillId="3" borderId="62" xfId="7" applyFont="1" applyFill="1" applyBorder="1" applyAlignment="1">
      <alignment horizontal="left" wrapText="1"/>
    </xf>
    <xf numFmtId="0" fontId="9" fillId="3" borderId="0" xfId="7" applyFont="1" applyFill="1" applyBorder="1" applyAlignment="1">
      <alignment horizontal="left" wrapText="1"/>
    </xf>
    <xf numFmtId="0" fontId="14" fillId="3" borderId="3" xfId="7" applyFont="1" applyFill="1" applyBorder="1" applyAlignment="1">
      <alignment horizontal="center" vertical="center" wrapText="1"/>
    </xf>
    <xf numFmtId="0" fontId="14" fillId="3" borderId="4" xfId="7" applyFont="1" applyFill="1" applyBorder="1" applyAlignment="1">
      <alignment horizontal="center" vertical="center" wrapText="1"/>
    </xf>
    <xf numFmtId="0" fontId="14" fillId="3" borderId="5" xfId="7" applyFont="1" applyFill="1" applyBorder="1" applyAlignment="1">
      <alignment horizontal="center" vertical="center" wrapText="1"/>
    </xf>
    <xf numFmtId="0" fontId="14" fillId="3" borderId="3" xfId="7" applyFont="1" applyFill="1" applyBorder="1" applyAlignment="1">
      <alignment horizontal="center" vertical="center"/>
    </xf>
    <xf numFmtId="0" fontId="87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7" applyFont="1" applyFill="1" applyBorder="1" applyAlignment="1">
      <alignment horizontal="left" vertical="center"/>
    </xf>
    <xf numFmtId="0" fontId="91" fillId="3" borderId="0" xfId="0" applyFont="1" applyFill="1" applyAlignment="1">
      <alignment horizontal="right" vertical="center" wrapText="1"/>
    </xf>
    <xf numFmtId="0" fontId="91" fillId="3" borderId="0" xfId="0" applyFont="1" applyFill="1" applyAlignment="1">
      <alignment horizontal="right" vertical="center"/>
    </xf>
    <xf numFmtId="0" fontId="89" fillId="3" borderId="0" xfId="0" applyFont="1" applyFill="1" applyAlignment="1">
      <alignment horizontal="center"/>
    </xf>
    <xf numFmtId="49" fontId="14" fillId="3" borderId="14" xfId="7" applyNumberFormat="1" applyFont="1" applyFill="1" applyBorder="1" applyAlignment="1">
      <alignment horizontal="center" vertical="center" wrapText="1"/>
    </xf>
    <xf numFmtId="49" fontId="14" fillId="3" borderId="2" xfId="7" applyNumberFormat="1" applyFont="1" applyFill="1" applyBorder="1" applyAlignment="1">
      <alignment horizontal="center" vertical="center" wrapText="1"/>
    </xf>
    <xf numFmtId="0" fontId="145" fillId="3" borderId="0" xfId="0" applyFont="1" applyFill="1" applyAlignment="1" applyProtection="1">
      <alignment horizontal="center" vertical="center"/>
      <protection locked="0"/>
    </xf>
    <xf numFmtId="0" fontId="91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/>
    </xf>
    <xf numFmtId="0" fontId="19" fillId="3" borderId="1" xfId="7" applyFont="1" applyFill="1" applyBorder="1" applyAlignment="1" applyProtection="1">
      <alignment horizontal="left" vertical="center"/>
    </xf>
    <xf numFmtId="0" fontId="19" fillId="21" borderId="1" xfId="7" applyFont="1" applyFill="1" applyBorder="1" applyAlignment="1" applyProtection="1">
      <alignment horizontal="left" vertical="center" wrapText="1"/>
    </xf>
    <xf numFmtId="0" fontId="19" fillId="3" borderId="1" xfId="7" applyFont="1" applyFill="1" applyBorder="1" applyAlignment="1" applyProtection="1">
      <alignment horizontal="left" vertical="center" wrapText="1"/>
    </xf>
    <xf numFmtId="0" fontId="19" fillId="3" borderId="1" xfId="7" applyFont="1" applyFill="1" applyBorder="1" applyAlignment="1" applyProtection="1">
      <alignment horizontal="left" vertical="center" wrapText="1" indent="2"/>
    </xf>
    <xf numFmtId="0" fontId="19" fillId="3" borderId="9" xfId="7" applyFont="1" applyFill="1" applyBorder="1" applyAlignment="1" applyProtection="1">
      <alignment horizontal="left" vertical="center"/>
    </xf>
    <xf numFmtId="0" fontId="19" fillId="3" borderId="52" xfId="7" applyFont="1" applyFill="1" applyBorder="1" applyAlignment="1" applyProtection="1">
      <alignment horizontal="left" vertical="center"/>
    </xf>
    <xf numFmtId="0" fontId="19" fillId="3" borderId="42" xfId="7" applyFont="1" applyFill="1" applyBorder="1" applyAlignment="1" applyProtection="1">
      <alignment horizontal="left" vertical="center"/>
    </xf>
    <xf numFmtId="0" fontId="47" fillId="3" borderId="9" xfId="7" applyFont="1" applyFill="1" applyBorder="1" applyAlignment="1" applyProtection="1">
      <alignment horizontal="left" vertical="center" indent="3"/>
    </xf>
    <xf numFmtId="0" fontId="47" fillId="3" borderId="52" xfId="7" applyFont="1" applyFill="1" applyBorder="1" applyAlignment="1" applyProtection="1">
      <alignment horizontal="left" vertical="center" indent="3"/>
    </xf>
    <xf numFmtId="0" fontId="47" fillId="3" borderId="42" xfId="7" applyFont="1" applyFill="1" applyBorder="1" applyAlignment="1" applyProtection="1">
      <alignment horizontal="left" vertical="center" indent="3"/>
    </xf>
    <xf numFmtId="0" fontId="47" fillId="3" borderId="9" xfId="7" applyFont="1" applyFill="1" applyBorder="1" applyAlignment="1" applyProtection="1">
      <alignment horizontal="left" vertical="center" wrapText="1" indent="3"/>
    </xf>
    <xf numFmtId="0" fontId="47" fillId="3" borderId="52" xfId="7" applyFont="1" applyFill="1" applyBorder="1" applyAlignment="1" applyProtection="1">
      <alignment horizontal="left" vertical="center" wrapText="1" indent="3"/>
    </xf>
    <xf numFmtId="0" fontId="47" fillId="3" borderId="42" xfId="7" applyFont="1" applyFill="1" applyBorder="1" applyAlignment="1" applyProtection="1">
      <alignment horizontal="left" vertical="center" wrapText="1" indent="3"/>
    </xf>
    <xf numFmtId="0" fontId="19" fillId="9" borderId="9" xfId="7" applyFont="1" applyFill="1" applyBorder="1" applyAlignment="1" applyProtection="1">
      <alignment horizontal="left" vertical="center"/>
    </xf>
    <xf numFmtId="0" fontId="19" fillId="9" borderId="52" xfId="7" applyFont="1" applyFill="1" applyBorder="1" applyAlignment="1" applyProtection="1">
      <alignment horizontal="left" vertical="center"/>
    </xf>
    <xf numFmtId="0" fontId="19" fillId="9" borderId="42" xfId="7" applyFont="1" applyFill="1" applyBorder="1" applyAlignment="1" applyProtection="1">
      <alignment horizontal="left" vertical="center"/>
    </xf>
    <xf numFmtId="0" fontId="19" fillId="3" borderId="9" xfId="7" applyFont="1" applyFill="1" applyBorder="1" applyAlignment="1" applyProtection="1">
      <alignment horizontal="left" vertical="center" indent="2"/>
    </xf>
    <xf numFmtId="0" fontId="19" fillId="3" borderId="52" xfId="7" applyFont="1" applyFill="1" applyBorder="1" applyAlignment="1" applyProtection="1">
      <alignment horizontal="left" vertical="center" indent="2"/>
    </xf>
    <xf numFmtId="0" fontId="19" fillId="3" borderId="42" xfId="7" applyFont="1" applyFill="1" applyBorder="1" applyAlignment="1" applyProtection="1">
      <alignment horizontal="left" vertical="center" indent="2"/>
    </xf>
    <xf numFmtId="0" fontId="19" fillId="9" borderId="9" xfId="7" applyFont="1" applyFill="1" applyBorder="1" applyAlignment="1" applyProtection="1">
      <alignment horizontal="left" vertical="center" wrapText="1"/>
    </xf>
    <xf numFmtId="0" fontId="19" fillId="9" borderId="52" xfId="7" applyFont="1" applyFill="1" applyBorder="1" applyAlignment="1" applyProtection="1">
      <alignment horizontal="left" vertical="center" wrapText="1"/>
    </xf>
    <xf numFmtId="0" fontId="19" fillId="9" borderId="42" xfId="7" applyFont="1" applyFill="1" applyBorder="1" applyAlignment="1" applyProtection="1">
      <alignment horizontal="left" vertical="center" wrapText="1"/>
    </xf>
    <xf numFmtId="0" fontId="47" fillId="3" borderId="9" xfId="7" applyFont="1" applyFill="1" applyBorder="1" applyAlignment="1" applyProtection="1">
      <alignment horizontal="left" vertical="center" indent="2"/>
    </xf>
    <xf numFmtId="0" fontId="47" fillId="3" borderId="52" xfId="7" applyFont="1" applyFill="1" applyBorder="1" applyAlignment="1" applyProtection="1">
      <alignment horizontal="left" vertical="center" indent="2"/>
    </xf>
    <xf numFmtId="0" fontId="47" fillId="3" borderId="42" xfId="7" applyFont="1" applyFill="1" applyBorder="1" applyAlignment="1" applyProtection="1">
      <alignment horizontal="left" vertical="center" indent="2"/>
    </xf>
    <xf numFmtId="0" fontId="19" fillId="3" borderId="9" xfId="7" applyFont="1" applyFill="1" applyBorder="1" applyAlignment="1" applyProtection="1">
      <alignment horizontal="left" vertical="center" wrapText="1"/>
    </xf>
    <xf numFmtId="0" fontId="19" fillId="3" borderId="52" xfId="7" applyFont="1" applyFill="1" applyBorder="1" applyAlignment="1" applyProtection="1">
      <alignment horizontal="left" vertical="center" wrapText="1"/>
    </xf>
    <xf numFmtId="0" fontId="19" fillId="3" borderId="42" xfId="7" applyFont="1" applyFill="1" applyBorder="1" applyAlignment="1" applyProtection="1">
      <alignment horizontal="left" vertical="center" wrapText="1"/>
    </xf>
    <xf numFmtId="0" fontId="19" fillId="3" borderId="2" xfId="7" applyFont="1" applyFill="1" applyBorder="1" applyAlignment="1" applyProtection="1">
      <alignment horizontal="left" vertical="center"/>
    </xf>
    <xf numFmtId="180" fontId="47" fillId="3" borderId="1" xfId="7" applyNumberFormat="1" applyFont="1" applyFill="1" applyBorder="1" applyAlignment="1" applyProtection="1">
      <alignment horizontal="center" vertical="center"/>
    </xf>
    <xf numFmtId="180" fontId="19" fillId="3" borderId="1" xfId="7" applyNumberFormat="1" applyFont="1" applyFill="1" applyBorder="1" applyAlignment="1" applyProtection="1">
      <alignment horizontal="center" vertical="center"/>
    </xf>
    <xf numFmtId="180" fontId="19" fillId="3" borderId="6" xfId="7" applyNumberFormat="1" applyFont="1" applyFill="1" applyBorder="1" applyAlignment="1" applyProtection="1">
      <alignment horizontal="center" vertical="center"/>
    </xf>
    <xf numFmtId="0" fontId="19" fillId="3" borderId="8" xfId="7" applyFont="1" applyFill="1" applyBorder="1" applyAlignment="1" applyProtection="1">
      <alignment horizontal="left" vertical="center" wrapText="1"/>
    </xf>
    <xf numFmtId="0" fontId="19" fillId="3" borderId="6" xfId="7" applyFont="1" applyFill="1" applyBorder="1" applyAlignment="1" applyProtection="1">
      <alignment horizontal="left" vertical="center" wrapText="1"/>
    </xf>
    <xf numFmtId="0" fontId="19" fillId="3" borderId="9" xfId="7" applyFont="1" applyFill="1" applyBorder="1" applyAlignment="1" applyProtection="1">
      <alignment horizontal="left" vertical="center" wrapText="1" indent="1"/>
    </xf>
    <xf numFmtId="0" fontId="19" fillId="3" borderId="52" xfId="7" applyFont="1" applyFill="1" applyBorder="1" applyAlignment="1" applyProtection="1">
      <alignment horizontal="left" vertical="center" wrapText="1" indent="1"/>
    </xf>
    <xf numFmtId="0" fontId="19" fillId="3" borderId="42" xfId="7" applyFont="1" applyFill="1" applyBorder="1" applyAlignment="1" applyProtection="1">
      <alignment horizontal="left" vertical="center" wrapText="1" indent="1"/>
    </xf>
    <xf numFmtId="0" fontId="19" fillId="21" borderId="1" xfId="7" applyFont="1" applyFill="1" applyBorder="1" applyAlignment="1" applyProtection="1">
      <alignment horizontal="left" vertical="center"/>
    </xf>
    <xf numFmtId="0" fontId="24" fillId="3" borderId="1" xfId="7" applyFont="1" applyFill="1" applyBorder="1" applyAlignment="1" applyProtection="1">
      <alignment horizontal="left" vertical="center" wrapText="1"/>
    </xf>
    <xf numFmtId="0" fontId="19" fillId="3" borderId="1" xfId="7" applyFont="1" applyFill="1" applyBorder="1" applyAlignment="1" applyProtection="1">
      <alignment horizontal="left" vertical="center" wrapText="1" indent="1"/>
    </xf>
    <xf numFmtId="49" fontId="47" fillId="3" borderId="0" xfId="7" applyNumberFormat="1" applyFont="1" applyFill="1" applyBorder="1" applyAlignment="1" applyProtection="1">
      <alignment horizontal="left" vertical="center" wrapText="1"/>
    </xf>
    <xf numFmtId="0" fontId="24" fillId="3" borderId="28" xfId="7" applyFont="1" applyFill="1" applyBorder="1" applyAlignment="1" applyProtection="1">
      <alignment horizontal="left" vertical="center" wrapText="1"/>
    </xf>
    <xf numFmtId="0" fontId="24" fillId="3" borderId="0" xfId="7" applyFont="1" applyFill="1" applyBorder="1" applyAlignment="1" applyProtection="1">
      <alignment horizontal="left" vertical="center" wrapText="1"/>
    </xf>
    <xf numFmtId="0" fontId="19" fillId="3" borderId="1" xfId="7" applyFont="1" applyFill="1" applyBorder="1" applyAlignment="1" applyProtection="1">
      <alignment horizontal="center" vertical="center"/>
    </xf>
    <xf numFmtId="4" fontId="19" fillId="3" borderId="1" xfId="7" applyNumberFormat="1" applyFont="1" applyFill="1" applyBorder="1" applyAlignment="1" applyProtection="1">
      <alignment horizontal="left" vertical="center" wrapText="1"/>
    </xf>
    <xf numFmtId="0" fontId="24" fillId="3" borderId="28" xfId="7" applyFont="1" applyFill="1" applyBorder="1" applyAlignment="1" applyProtection="1">
      <alignment horizontal="left" wrapText="1"/>
    </xf>
    <xf numFmtId="0" fontId="24" fillId="3" borderId="0" xfId="7" applyFont="1" applyFill="1" applyBorder="1" applyAlignment="1" applyProtection="1">
      <alignment horizontal="left" wrapText="1"/>
    </xf>
    <xf numFmtId="0" fontId="19" fillId="3" borderId="1" xfId="7" applyFont="1" applyFill="1" applyBorder="1" applyAlignment="1" applyProtection="1">
      <alignment horizontal="center" vertical="center" wrapText="1"/>
    </xf>
    <xf numFmtId="4" fontId="19" fillId="9" borderId="1" xfId="7" applyNumberFormat="1" applyFont="1" applyFill="1" applyBorder="1" applyAlignment="1" applyProtection="1">
      <alignment horizontal="left" vertical="center" wrapText="1"/>
    </xf>
    <xf numFmtId="0" fontId="35" fillId="3" borderId="14" xfId="7" applyFont="1" applyFill="1" applyBorder="1" applyAlignment="1" applyProtection="1">
      <alignment horizontal="center" vertical="center"/>
    </xf>
    <xf numFmtId="0" fontId="35" fillId="3" borderId="3" xfId="7" applyFont="1" applyFill="1" applyBorder="1" applyAlignment="1" applyProtection="1">
      <alignment horizontal="center" vertical="center"/>
    </xf>
    <xf numFmtId="0" fontId="47" fillId="3" borderId="1" xfId="7" applyFont="1" applyFill="1" applyBorder="1" applyAlignment="1" applyProtection="1">
      <alignment horizontal="center" vertical="center" wrapText="1"/>
    </xf>
    <xf numFmtId="4" fontId="19" fillId="3" borderId="9" xfId="7" applyNumberFormat="1" applyFont="1" applyFill="1" applyBorder="1" applyAlignment="1" applyProtection="1">
      <alignment horizontal="center" vertical="center"/>
    </xf>
    <xf numFmtId="4" fontId="19" fillId="3" borderId="42" xfId="7" applyNumberFormat="1" applyFont="1" applyFill="1" applyBorder="1" applyAlignment="1" applyProtection="1">
      <alignment horizontal="center" vertical="center"/>
    </xf>
    <xf numFmtId="4" fontId="19" fillId="3" borderId="52" xfId="7" applyNumberFormat="1" applyFont="1" applyFill="1" applyBorder="1" applyAlignment="1" applyProtection="1">
      <alignment horizontal="center" vertical="center"/>
    </xf>
    <xf numFmtId="0" fontId="153" fillId="0" borderId="0" xfId="0" applyFont="1" applyAlignment="1" applyProtection="1">
      <alignment horizontal="center" vertical="center"/>
    </xf>
    <xf numFmtId="49" fontId="24" fillId="3" borderId="0" xfId="7" applyNumberFormat="1" applyFont="1" applyFill="1" applyBorder="1" applyAlignment="1" applyProtection="1">
      <alignment horizontal="left" vertical="center"/>
    </xf>
    <xf numFmtId="49" fontId="19" fillId="3" borderId="23" xfId="7" applyNumberFormat="1" applyFont="1" applyFill="1" applyBorder="1" applyAlignment="1" applyProtection="1">
      <alignment vertical="center"/>
    </xf>
    <xf numFmtId="49" fontId="19" fillId="3" borderId="18" xfId="7" applyNumberFormat="1" applyFont="1" applyFill="1" applyBorder="1" applyAlignment="1" applyProtection="1">
      <alignment vertical="center"/>
    </xf>
    <xf numFmtId="0" fontId="19" fillId="0" borderId="39" xfId="7" applyFont="1" applyFill="1" applyBorder="1" applyAlignment="1" applyProtection="1">
      <alignment horizontal="center" vertical="center"/>
    </xf>
    <xf numFmtId="0" fontId="19" fillId="0" borderId="10" xfId="7" applyFont="1" applyFill="1" applyBorder="1" applyAlignment="1" applyProtection="1">
      <alignment horizontal="center" vertical="center"/>
    </xf>
    <xf numFmtId="0" fontId="19" fillId="3" borderId="72" xfId="7" applyFont="1" applyFill="1" applyBorder="1" applyAlignment="1" applyProtection="1">
      <alignment horizontal="center" vertical="center" wrapText="1"/>
    </xf>
    <xf numFmtId="0" fontId="19" fillId="3" borderId="73" xfId="7" applyFont="1" applyFill="1" applyBorder="1" applyAlignment="1" applyProtection="1">
      <alignment horizontal="center" vertical="center" wrapText="1"/>
    </xf>
    <xf numFmtId="0" fontId="19" fillId="3" borderId="60" xfId="7" applyFont="1" applyFill="1" applyBorder="1" applyAlignment="1" applyProtection="1">
      <alignment horizontal="center" vertical="center" wrapText="1"/>
    </xf>
    <xf numFmtId="4" fontId="19" fillId="3" borderId="1" xfId="7" applyNumberFormat="1" applyFont="1" applyFill="1" applyBorder="1" applyAlignment="1" applyProtection="1">
      <alignment horizontal="center" vertical="center"/>
    </xf>
    <xf numFmtId="4" fontId="19" fillId="14" borderId="1" xfId="7" applyNumberFormat="1" applyFont="1" applyFill="1" applyBorder="1" applyAlignment="1" applyProtection="1">
      <alignment horizontal="center" vertical="center"/>
    </xf>
    <xf numFmtId="49" fontId="19" fillId="3" borderId="49" xfId="7" applyNumberFormat="1" applyFont="1" applyFill="1" applyBorder="1" applyAlignment="1" applyProtection="1">
      <alignment horizontal="center" vertical="center" wrapText="1" readingOrder="1"/>
    </xf>
    <xf numFmtId="49" fontId="19" fillId="3" borderId="51" xfId="7" applyNumberFormat="1" applyFont="1" applyFill="1" applyBorder="1" applyAlignment="1" applyProtection="1">
      <alignment horizontal="center" vertical="center" wrapText="1" readingOrder="1"/>
    </xf>
    <xf numFmtId="49" fontId="19" fillId="3" borderId="28" xfId="7" applyNumberFormat="1" applyFont="1" applyFill="1" applyBorder="1" applyAlignment="1" applyProtection="1">
      <alignment horizontal="center" vertical="center" wrapText="1" readingOrder="1"/>
    </xf>
    <xf numFmtId="49" fontId="19" fillId="3" borderId="29" xfId="7" applyNumberFormat="1" applyFont="1" applyFill="1" applyBorder="1" applyAlignment="1" applyProtection="1">
      <alignment horizontal="center" vertical="center" wrapText="1" readingOrder="1"/>
    </xf>
    <xf numFmtId="49" fontId="19" fillId="3" borderId="25" xfId="7" applyNumberFormat="1" applyFont="1" applyFill="1" applyBorder="1" applyAlignment="1" applyProtection="1">
      <alignment horizontal="center" vertical="center" wrapText="1" readingOrder="1"/>
    </xf>
    <xf numFmtId="49" fontId="19" fillId="3" borderId="41" xfId="7" applyNumberFormat="1" applyFont="1" applyFill="1" applyBorder="1" applyAlignment="1" applyProtection="1">
      <alignment horizontal="center" vertical="center" wrapText="1" readingOrder="1"/>
    </xf>
    <xf numFmtId="49" fontId="19" fillId="3" borderId="1" xfId="7" applyNumberFormat="1" applyFont="1" applyFill="1" applyBorder="1" applyAlignment="1" applyProtection="1">
      <alignment horizontal="center" vertical="center" wrapText="1" readingOrder="1"/>
    </xf>
    <xf numFmtId="180" fontId="19" fillId="3" borderId="9" xfId="7" applyNumberFormat="1" applyFont="1" applyFill="1" applyBorder="1" applyAlignment="1" applyProtection="1">
      <alignment horizontal="center" vertical="center"/>
    </xf>
    <xf numFmtId="180" fontId="19" fillId="3" borderId="52" xfId="7" applyNumberFormat="1" applyFont="1" applyFill="1" applyBorder="1" applyAlignment="1" applyProtection="1">
      <alignment horizontal="center" vertical="center"/>
    </xf>
    <xf numFmtId="180" fontId="19" fillId="3" borderId="42" xfId="7" applyNumberFormat="1" applyFont="1" applyFill="1" applyBorder="1" applyAlignment="1" applyProtection="1">
      <alignment horizontal="center" vertical="center"/>
    </xf>
    <xf numFmtId="4" fontId="19" fillId="14" borderId="9" xfId="7" applyNumberFormat="1" applyFont="1" applyFill="1" applyBorder="1" applyAlignment="1" applyProtection="1">
      <alignment horizontal="center" vertical="center"/>
    </xf>
    <xf numFmtId="4" fontId="19" fillId="14" borderId="42" xfId="7" applyNumberFormat="1" applyFont="1" applyFill="1" applyBorder="1" applyAlignment="1" applyProtection="1">
      <alignment horizontal="center" vertical="center"/>
    </xf>
    <xf numFmtId="0" fontId="25" fillId="0" borderId="62" xfId="7" applyFont="1" applyFill="1" applyBorder="1" applyAlignment="1">
      <alignment horizontal="center" vertical="center"/>
    </xf>
    <xf numFmtId="0" fontId="14" fillId="3" borderId="52" xfId="7" applyFont="1" applyFill="1" applyBorder="1" applyAlignment="1">
      <alignment horizontal="center" vertical="center" wrapText="1"/>
    </xf>
    <xf numFmtId="0" fontId="14" fillId="3" borderId="42" xfId="7" applyFont="1" applyFill="1" applyBorder="1" applyAlignment="1">
      <alignment horizontal="center" vertical="center" wrapText="1"/>
    </xf>
    <xf numFmtId="4" fontId="14" fillId="3" borderId="1" xfId="7" applyNumberFormat="1" applyFont="1" applyFill="1" applyBorder="1" applyAlignment="1">
      <alignment horizontal="center" vertical="center" wrapText="1"/>
    </xf>
    <xf numFmtId="0" fontId="25" fillId="3" borderId="0" xfId="7" applyFont="1" applyFill="1" applyBorder="1" applyAlignment="1">
      <alignment horizontal="center" vertical="center" wrapText="1"/>
    </xf>
    <xf numFmtId="4" fontId="91" fillId="3" borderId="49" xfId="0" applyNumberFormat="1" applyFont="1" applyFill="1" applyBorder="1" applyAlignment="1">
      <alignment horizontal="center" vertical="center" wrapText="1"/>
    </xf>
    <xf numFmtId="4" fontId="91" fillId="3" borderId="61" xfId="0" applyNumberFormat="1" applyFont="1" applyFill="1" applyBorder="1" applyAlignment="1">
      <alignment horizontal="center" vertical="center" wrapText="1"/>
    </xf>
    <xf numFmtId="4" fontId="91" fillId="3" borderId="51" xfId="0" applyNumberFormat="1" applyFont="1" applyFill="1" applyBorder="1" applyAlignment="1">
      <alignment horizontal="center" vertical="center" wrapText="1"/>
    </xf>
    <xf numFmtId="4" fontId="91" fillId="3" borderId="12" xfId="0" applyNumberFormat="1" applyFont="1" applyFill="1" applyBorder="1" applyAlignment="1">
      <alignment horizontal="center" vertical="center" wrapText="1"/>
    </xf>
    <xf numFmtId="4" fontId="91" fillId="3" borderId="10" xfId="0" applyNumberFormat="1" applyFont="1" applyFill="1" applyBorder="1" applyAlignment="1">
      <alignment horizontal="center" vertical="center" wrapText="1"/>
    </xf>
    <xf numFmtId="4" fontId="91" fillId="3" borderId="9" xfId="0" applyNumberFormat="1" applyFont="1" applyFill="1" applyBorder="1" applyAlignment="1">
      <alignment horizontal="center" vertical="center" wrapText="1"/>
    </xf>
    <xf numFmtId="4" fontId="91" fillId="3" borderId="42" xfId="0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left" vertical="center" wrapText="1" indent="2"/>
    </xf>
    <xf numFmtId="4" fontId="10" fillId="3" borderId="12" xfId="7" applyNumberFormat="1" applyFont="1" applyFill="1" applyBorder="1" applyAlignment="1" applyProtection="1">
      <alignment horizontal="center" vertical="center" wrapText="1"/>
    </xf>
    <xf numFmtId="4" fontId="10" fillId="3" borderId="27" xfId="7" applyNumberFormat="1" applyFont="1" applyFill="1" applyBorder="1" applyAlignment="1" applyProtection="1">
      <alignment horizontal="center" vertical="center" wrapText="1"/>
    </xf>
    <xf numFmtId="4" fontId="10" fillId="3" borderId="10" xfId="7" applyNumberFormat="1" applyFont="1" applyFill="1" applyBorder="1" applyAlignment="1" applyProtection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4" fontId="10" fillId="5" borderId="1" xfId="7" applyNumberFormat="1" applyFont="1" applyFill="1" applyBorder="1" applyAlignment="1" applyProtection="1">
      <alignment horizontal="center" vertical="center" wrapText="1"/>
    </xf>
    <xf numFmtId="0" fontId="8" fillId="3" borderId="0" xfId="7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horizontal="center" vertical="center" wrapText="1"/>
    </xf>
    <xf numFmtId="0" fontId="4" fillId="0" borderId="13" xfId="7" applyFont="1" applyFill="1" applyBorder="1" applyAlignment="1">
      <alignment horizontal="center" vertical="center" wrapText="1"/>
    </xf>
    <xf numFmtId="0" fontId="4" fillId="3" borderId="37" xfId="7" applyFont="1" applyFill="1" applyBorder="1" applyAlignment="1">
      <alignment horizontal="center"/>
    </xf>
    <xf numFmtId="0" fontId="4" fillId="3" borderId="29" xfId="7" applyFont="1" applyFill="1" applyBorder="1" applyAlignment="1">
      <alignment horizontal="center"/>
    </xf>
    <xf numFmtId="0" fontId="4" fillId="3" borderId="3" xfId="7" applyFont="1" applyFill="1" applyBorder="1" applyAlignment="1">
      <alignment horizontal="center"/>
    </xf>
    <xf numFmtId="0" fontId="4" fillId="3" borderId="4" xfId="7" applyFont="1" applyFill="1" applyBorder="1" applyAlignment="1">
      <alignment horizontal="center"/>
    </xf>
  </cellXfs>
  <cellStyles count="9">
    <cellStyle name="Normal" xfId="1"/>
    <cellStyle name="Normal 2" xfId="2"/>
    <cellStyle name="Normal 3" xfId="3"/>
    <cellStyle name="Normal 5" xfId="4"/>
    <cellStyle name="Гиперссылка" xfId="5" builtinId="8"/>
    <cellStyle name="Звичайний 2" xfId="6"/>
    <cellStyle name="Обычный" xfId="0" builtinId="0"/>
    <cellStyle name="Обычный 2" xfId="7"/>
    <cellStyle name="Обычный 3" xfId="8"/>
  </cellStyles>
  <dxfs count="621"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1095375</xdr:colOff>
          <xdr:row>38</xdr:row>
          <xdr:rowOff>200025</xdr:rowOff>
        </xdr:from>
        <xdr:to>
          <xdr:col>21</xdr:col>
          <xdr:colOff>1838325</xdr:colOff>
          <xdr:row>42</xdr:row>
          <xdr:rowOff>38100</xdr:rowOff>
        </xdr:to>
        <xdr:pic>
          <xdr:nvPicPr>
            <xdr:cNvPr id="1043" name="Рисунок 3"/>
            <xdr:cNvPicPr>
              <a:picLocks noChangeAspect="1" noChangeArrowheads="1"/>
              <a:extLst>
                <a:ext uri="{84589F7E-364E-4C9E-8A38-B11213B215E9}">
                  <a14:cameraTool cellRange="'Звіт 1,2,3'!$A$52:$S$59" spid="_x0000_s1045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3337500" y="27670125"/>
              <a:ext cx="19640550" cy="27432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1409700</xdr:colOff>
          <xdr:row>29</xdr:row>
          <xdr:rowOff>504825</xdr:rowOff>
        </xdr:from>
        <xdr:to>
          <xdr:col>29</xdr:col>
          <xdr:colOff>171450</xdr:colOff>
          <xdr:row>39</xdr:row>
          <xdr:rowOff>400050</xdr:rowOff>
        </xdr:to>
        <xdr:pic>
          <xdr:nvPicPr>
            <xdr:cNvPr id="1044" name="Рисунок 4"/>
            <xdr:cNvPicPr>
              <a:picLocks noChangeAspect="1" noChangeArrowheads="1"/>
              <a:extLst>
                <a:ext uri="{84589F7E-364E-4C9E-8A38-B11213B215E9}">
                  <a14:cameraTool cellRange="'Звіт   4,5,6'!$A$4:$I$29" spid="_x0000_s1046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6559450" y="19383375"/>
              <a:ext cx="12649200" cy="89820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21</xdr:row>
          <xdr:rowOff>342900</xdr:rowOff>
        </xdr:from>
        <xdr:to>
          <xdr:col>24</xdr:col>
          <xdr:colOff>742950</xdr:colOff>
          <xdr:row>28</xdr:row>
          <xdr:rowOff>19050</xdr:rowOff>
        </xdr:to>
        <xdr:pic>
          <xdr:nvPicPr>
            <xdr:cNvPr id="6172" name="Рисунок 8"/>
            <xdr:cNvPicPr>
              <a:picLocks noChangeAspect="1" noChangeArrowheads="1"/>
              <a:extLst>
                <a:ext uri="{84589F7E-364E-4C9E-8A38-B11213B215E9}">
                  <a14:cameraTool cellRange="'Звіт 1,2,3'!$A$52:$S$59" spid="_x0000_s6175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68375" y="8753475"/>
              <a:ext cx="21878925" cy="30289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1257300</xdr:colOff>
          <xdr:row>28</xdr:row>
          <xdr:rowOff>190500</xdr:rowOff>
        </xdr:from>
        <xdr:to>
          <xdr:col>20</xdr:col>
          <xdr:colOff>114300</xdr:colOff>
          <xdr:row>34</xdr:row>
          <xdr:rowOff>333375</xdr:rowOff>
        </xdr:to>
        <xdr:pic>
          <xdr:nvPicPr>
            <xdr:cNvPr id="6173" name="Рисунок 2"/>
            <xdr:cNvPicPr>
              <a:picLocks noChangeAspect="1" noChangeArrowheads="1"/>
              <a:extLst>
                <a:ext uri="{84589F7E-364E-4C9E-8A38-B11213B215E9}">
                  <a14:cameraTool cellRange="Валідація!$K$36:$P$38" spid="_x0000_s6176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440150" y="11953875"/>
              <a:ext cx="13535025" cy="26860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142875</xdr:rowOff>
        </xdr:from>
        <xdr:to>
          <xdr:col>19</xdr:col>
          <xdr:colOff>1028700</xdr:colOff>
          <xdr:row>21</xdr:row>
          <xdr:rowOff>247650</xdr:rowOff>
        </xdr:to>
        <xdr:pic>
          <xdr:nvPicPr>
            <xdr:cNvPr id="6174" name="Рисунок 3"/>
            <xdr:cNvPicPr>
              <a:picLocks noChangeAspect="1" noChangeArrowheads="1"/>
              <a:extLst>
                <a:ext uri="{84589F7E-364E-4C9E-8A38-B11213B215E9}">
                  <a14:cameraTool cellRange="Валідація!$H$32:$N$34" spid="_x0000_s6177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39800" y="5972175"/>
              <a:ext cx="16002000" cy="26860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342900</xdr:colOff>
      <xdr:row>14</xdr:row>
      <xdr:rowOff>38100</xdr:rowOff>
    </xdr:from>
    <xdr:to>
      <xdr:col>40</xdr:col>
      <xdr:colOff>381000</xdr:colOff>
      <xdr:row>30</xdr:row>
      <xdr:rowOff>228600</xdr:rowOff>
    </xdr:to>
    <xdr:pic>
      <xdr:nvPicPr>
        <xdr:cNvPr id="140707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17550" y="5705475"/>
          <a:ext cx="8753475" cy="658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2276475</xdr:colOff>
      <xdr:row>0</xdr:row>
      <xdr:rowOff>552450</xdr:rowOff>
    </xdr:from>
    <xdr:to>
      <xdr:col>40</xdr:col>
      <xdr:colOff>238125</xdr:colOff>
      <xdr:row>16</xdr:row>
      <xdr:rowOff>133350</xdr:rowOff>
    </xdr:to>
    <xdr:pic>
      <xdr:nvPicPr>
        <xdr:cNvPr id="140708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12725" y="552450"/>
          <a:ext cx="9115425" cy="580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36</xdr:row>
          <xdr:rowOff>0</xdr:rowOff>
        </xdr:from>
        <xdr:to>
          <xdr:col>21</xdr:col>
          <xdr:colOff>1095375</xdr:colOff>
          <xdr:row>44</xdr:row>
          <xdr:rowOff>95250</xdr:rowOff>
        </xdr:to>
        <xdr:pic>
          <xdr:nvPicPr>
            <xdr:cNvPr id="4106" name="Рисунок 1"/>
            <xdr:cNvPicPr>
              <a:picLocks noChangeAspect="1" noChangeArrowheads="1"/>
              <a:extLst>
                <a:ext uri="{84589F7E-364E-4C9E-8A38-B11213B215E9}">
                  <a14:cameraTool cellRange="Валідація!$R$82:$W$84" spid="_x0000_s4107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583150" y="19869150"/>
              <a:ext cx="15754350" cy="41243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zakon.rada.gov.ua/rada/show/796-12" TargetMode="External"/><Relationship Id="rId2" Type="http://schemas.openxmlformats.org/officeDocument/2006/relationships/hyperlink" Target="https://zakon.rada.gov.ua/rada/show/z0114-04" TargetMode="External"/><Relationship Id="rId1" Type="http://schemas.openxmlformats.org/officeDocument/2006/relationships/hyperlink" Target="https://zakon.rada.gov.ua/laws/show/z1442-05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zakon.rada.gov.ua/rada/show/108/95-%D0%B2%D1%8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7"/>
  <dimension ref="A1:J80"/>
  <sheetViews>
    <sheetView topLeftCell="B47" zoomScale="60" zoomScaleNormal="60" workbookViewId="0">
      <selection activeCell="F57" sqref="F57:F64"/>
    </sheetView>
  </sheetViews>
  <sheetFormatPr defaultRowHeight="18.75" x14ac:dyDescent="0.3"/>
  <cols>
    <col min="1" max="1" width="0" hidden="1" customWidth="1"/>
    <col min="2" max="3" width="24.5703125" style="460" customWidth="1"/>
    <col min="4" max="4" width="106" style="230" customWidth="1"/>
    <col min="5" max="5" width="16.28515625" style="458" customWidth="1"/>
    <col min="6" max="6" width="18.5703125" style="458" customWidth="1"/>
    <col min="7" max="7" width="16.28515625" style="458" customWidth="1"/>
    <col min="8" max="8" width="20.42578125" style="458" customWidth="1"/>
    <col min="9" max="9" width="23.7109375" style="458" customWidth="1"/>
  </cols>
  <sheetData>
    <row r="1" spans="1:9" s="111" customFormat="1" ht="24" customHeight="1" x14ac:dyDescent="0.3">
      <c r="A1" s="439"/>
      <c r="B1" s="440"/>
      <c r="C1" s="440"/>
      <c r="D1" s="441" t="s">
        <v>960</v>
      </c>
      <c r="E1" s="439"/>
      <c r="F1" s="439"/>
      <c r="G1" s="439"/>
      <c r="H1" s="439"/>
      <c r="I1" s="439"/>
    </row>
    <row r="2" spans="1:9" s="111" customFormat="1" ht="39" customHeight="1" x14ac:dyDescent="0.3">
      <c r="B2" s="440"/>
      <c r="C2" s="440"/>
      <c r="D2" s="441" t="s">
        <v>1892</v>
      </c>
      <c r="E2" s="1814"/>
      <c r="F2" s="1814"/>
      <c r="G2" s="1814"/>
      <c r="H2" s="1814"/>
      <c r="I2" s="442"/>
    </row>
    <row r="3" spans="1:9" ht="60.6" customHeight="1" x14ac:dyDescent="0.3">
      <c r="A3" s="443" t="s">
        <v>961</v>
      </c>
      <c r="B3" s="258" t="s">
        <v>1963</v>
      </c>
      <c r="C3" s="258" t="s">
        <v>1964</v>
      </c>
      <c r="D3" s="258" t="s">
        <v>962</v>
      </c>
      <c r="E3" s="444" t="s">
        <v>963</v>
      </c>
      <c r="F3" s="445" t="s">
        <v>964</v>
      </c>
      <c r="G3" s="446" t="s">
        <v>965</v>
      </c>
      <c r="H3" s="447" t="s">
        <v>966</v>
      </c>
      <c r="I3" s="448" t="s">
        <v>967</v>
      </c>
    </row>
    <row r="4" spans="1:9" ht="36.75" customHeight="1" x14ac:dyDescent="0.35">
      <c r="A4" s="443"/>
      <c r="B4" s="449"/>
      <c r="C4" s="33">
        <f>Валідація!C5</f>
        <v>1</v>
      </c>
      <c r="D4" s="522" t="str">
        <f>Валідація!D5</f>
        <v>Перевірка на наявність ЄДРПОУ та інших даних, розташованих на вкладках "Звіт 1,2,3",  "Звіт 9", "Звіт Пацієнт"</v>
      </c>
      <c r="E4" s="452" t="s">
        <v>968</v>
      </c>
      <c r="F4" s="452" t="s">
        <v>968</v>
      </c>
      <c r="G4" s="450"/>
      <c r="H4" s="450"/>
      <c r="I4" s="453">
        <v>1</v>
      </c>
    </row>
    <row r="5" spans="1:9" ht="27.75" customHeight="1" x14ac:dyDescent="0.35">
      <c r="A5" s="451"/>
      <c r="B5" s="33">
        <v>1</v>
      </c>
      <c r="C5" s="33">
        <f>Валідація!C6</f>
        <v>2</v>
      </c>
      <c r="D5" s="522" t="s">
        <v>340</v>
      </c>
      <c r="E5" s="452" t="s">
        <v>968</v>
      </c>
      <c r="F5" s="452" t="s">
        <v>968</v>
      </c>
      <c r="G5" s="450"/>
      <c r="H5" s="450"/>
      <c r="I5" s="453">
        <v>2</v>
      </c>
    </row>
    <row r="6" spans="1:9" s="457" customFormat="1" ht="27.75" customHeight="1" x14ac:dyDescent="0.35">
      <c r="A6" s="451"/>
      <c r="B6" s="454" t="s">
        <v>88</v>
      </c>
      <c r="C6" s="454" t="s">
        <v>786</v>
      </c>
      <c r="D6" s="455" t="s">
        <v>354</v>
      </c>
      <c r="E6" s="452" t="s">
        <v>968</v>
      </c>
      <c r="F6" s="452" t="s">
        <v>968</v>
      </c>
      <c r="G6" s="452" t="s">
        <v>968</v>
      </c>
      <c r="H6" s="450"/>
      <c r="I6" s="453">
        <v>3</v>
      </c>
    </row>
    <row r="7" spans="1:9" ht="27.75" customHeight="1" x14ac:dyDescent="0.35">
      <c r="A7" s="451"/>
      <c r="B7" s="33">
        <v>2</v>
      </c>
      <c r="C7" s="33">
        <f>Валідація!C9</f>
        <v>4</v>
      </c>
      <c r="D7" s="522" t="s">
        <v>969</v>
      </c>
      <c r="E7" s="452" t="s">
        <v>968</v>
      </c>
      <c r="F7" s="452" t="s">
        <v>968</v>
      </c>
      <c r="G7" s="452"/>
      <c r="H7" s="450"/>
      <c r="I7" s="453">
        <v>4</v>
      </c>
    </row>
    <row r="8" spans="1:9" ht="27.75" customHeight="1" x14ac:dyDescent="0.35">
      <c r="A8" s="451"/>
      <c r="B8" s="33">
        <v>3</v>
      </c>
      <c r="C8" s="33">
        <f>Валідація!C11</f>
        <v>5</v>
      </c>
      <c r="D8" s="455" t="s">
        <v>970</v>
      </c>
      <c r="E8" s="452" t="s">
        <v>968</v>
      </c>
      <c r="F8" s="463" t="s">
        <v>968</v>
      </c>
      <c r="G8" s="452"/>
      <c r="H8" s="450"/>
      <c r="I8" s="453">
        <v>5</v>
      </c>
    </row>
    <row r="9" spans="1:9" s="457" customFormat="1" ht="27.75" customHeight="1" x14ac:dyDescent="0.35">
      <c r="A9" s="451"/>
      <c r="B9" s="33" t="s">
        <v>600</v>
      </c>
      <c r="C9" s="33">
        <f>Валідація!C16</f>
        <v>7</v>
      </c>
      <c r="D9" s="455" t="s">
        <v>1126</v>
      </c>
      <c r="E9" s="452" t="s">
        <v>968</v>
      </c>
      <c r="F9" s="452" t="s">
        <v>968</v>
      </c>
      <c r="G9" s="452"/>
      <c r="H9" s="450"/>
      <c r="I9" s="453">
        <v>6</v>
      </c>
    </row>
    <row r="10" spans="1:9" s="457" customFormat="1" ht="35.25" customHeight="1" x14ac:dyDescent="0.3">
      <c r="A10" s="451"/>
      <c r="B10" s="1535"/>
      <c r="C10" s="1535"/>
      <c r="D10" s="1536" t="s">
        <v>610</v>
      </c>
      <c r="E10" s="1537" t="s">
        <v>976</v>
      </c>
      <c r="F10" s="1537" t="s">
        <v>976</v>
      </c>
      <c r="G10" s="1538"/>
      <c r="H10" s="1538"/>
      <c r="I10" s="1537">
        <v>7</v>
      </c>
    </row>
    <row r="11" spans="1:9" s="457" customFormat="1" ht="35.25" customHeight="1" x14ac:dyDescent="0.3">
      <c r="A11" s="451"/>
      <c r="B11" s="33" t="s">
        <v>601</v>
      </c>
      <c r="C11" s="33">
        <f>Валідація!C58</f>
        <v>25</v>
      </c>
      <c r="D11" s="455" t="s">
        <v>435</v>
      </c>
      <c r="E11" s="452" t="s">
        <v>968</v>
      </c>
      <c r="F11" s="452" t="s">
        <v>968</v>
      </c>
      <c r="G11" s="450"/>
      <c r="H11" s="450" t="s">
        <v>319</v>
      </c>
      <c r="I11" s="452"/>
    </row>
    <row r="12" spans="1:9" s="457" customFormat="1" ht="35.25" customHeight="1" x14ac:dyDescent="0.3">
      <c r="A12" s="451"/>
      <c r="B12" s="33">
        <v>32</v>
      </c>
      <c r="C12" s="33">
        <f>Валідація!C68</f>
        <v>29</v>
      </c>
      <c r="D12" s="522" t="s">
        <v>977</v>
      </c>
      <c r="E12" s="452" t="s">
        <v>968</v>
      </c>
      <c r="F12" s="452" t="s">
        <v>968</v>
      </c>
      <c r="G12" s="450"/>
      <c r="H12" s="450"/>
      <c r="I12" s="452"/>
    </row>
    <row r="13" spans="1:9" s="457" customFormat="1" ht="35.25" customHeight="1" x14ac:dyDescent="0.3">
      <c r="A13" s="451"/>
      <c r="B13" s="33" t="s">
        <v>602</v>
      </c>
      <c r="C13" s="33">
        <f>Валідація!C59</f>
        <v>26</v>
      </c>
      <c r="D13" s="522" t="s">
        <v>978</v>
      </c>
      <c r="E13" s="1539" t="s">
        <v>968</v>
      </c>
      <c r="F13" s="1539" t="s">
        <v>968</v>
      </c>
      <c r="G13" s="1539"/>
      <c r="H13" s="461"/>
      <c r="I13" s="1540"/>
    </row>
    <row r="14" spans="1:9" s="457" customFormat="1" ht="35.25" customHeight="1" x14ac:dyDescent="0.3">
      <c r="A14" s="451"/>
      <c r="B14" s="33" t="s">
        <v>603</v>
      </c>
      <c r="C14" s="33">
        <f>Валідація!C61</f>
        <v>27</v>
      </c>
      <c r="D14" s="522" t="s">
        <v>979</v>
      </c>
      <c r="E14" s="1539" t="s">
        <v>968</v>
      </c>
      <c r="F14" s="1539" t="s">
        <v>968</v>
      </c>
      <c r="G14" s="1539"/>
      <c r="H14" s="461"/>
      <c r="I14" s="1540"/>
    </row>
    <row r="15" spans="1:9" s="457" customFormat="1" ht="35.25" customHeight="1" x14ac:dyDescent="0.3">
      <c r="A15" s="451"/>
      <c r="B15" s="33">
        <v>33</v>
      </c>
      <c r="C15" s="33">
        <f>Валідація!C71</f>
        <v>30</v>
      </c>
      <c r="D15" s="522" t="s">
        <v>980</v>
      </c>
      <c r="E15" s="452" t="s">
        <v>968</v>
      </c>
      <c r="F15" s="452" t="s">
        <v>968</v>
      </c>
      <c r="G15" s="450"/>
      <c r="H15" s="450"/>
      <c r="I15" s="452"/>
    </row>
    <row r="16" spans="1:9" s="457" customFormat="1" ht="35.25" customHeight="1" x14ac:dyDescent="0.3">
      <c r="A16" s="451"/>
      <c r="B16" s="258">
        <v>34</v>
      </c>
      <c r="C16" s="258">
        <f>Валідація!C73</f>
        <v>31</v>
      </c>
      <c r="D16" s="455" t="s">
        <v>1212</v>
      </c>
      <c r="E16" s="452" t="s">
        <v>968</v>
      </c>
      <c r="F16" s="452" t="s">
        <v>968</v>
      </c>
      <c r="G16" s="461"/>
      <c r="H16" s="464"/>
      <c r="I16" s="452"/>
    </row>
    <row r="17" spans="1:9" s="457" customFormat="1" ht="35.25" customHeight="1" x14ac:dyDescent="0.35">
      <c r="A17" s="451"/>
      <c r="B17" s="258">
        <v>35</v>
      </c>
      <c r="C17" s="258">
        <f>Валідація!C76</f>
        <v>32</v>
      </c>
      <c r="D17" s="522" t="s">
        <v>1967</v>
      </c>
      <c r="E17" s="463" t="b">
        <v>1</v>
      </c>
      <c r="F17" s="463" t="b">
        <v>1</v>
      </c>
      <c r="G17" s="464"/>
      <c r="H17" s="464"/>
      <c r="I17" s="456"/>
    </row>
    <row r="18" spans="1:9" s="457" customFormat="1" ht="15" customHeight="1" x14ac:dyDescent="0.35">
      <c r="A18" s="451"/>
      <c r="B18" s="33"/>
      <c r="C18" s="33"/>
      <c r="D18" s="455"/>
      <c r="E18" s="452"/>
      <c r="F18" s="452"/>
      <c r="G18" s="452"/>
      <c r="H18" s="450"/>
      <c r="I18" s="453"/>
    </row>
    <row r="19" spans="1:9" ht="85.5" customHeight="1" x14ac:dyDescent="0.35">
      <c r="A19" s="451"/>
      <c r="B19" s="33">
        <v>14</v>
      </c>
      <c r="C19" s="33">
        <f>Валідація!C42</f>
        <v>18</v>
      </c>
      <c r="D19" s="522" t="str">
        <f>Валідація!D42</f>
        <v>Фінансовий результат без амортизації
Доходи без доходів від амортизації - витрати (таблиця 5 виробнича собівартість готової продукції та товарів + витрати таблиця 5.1. без амортизації) &gt;= 0</v>
      </c>
      <c r="E19" s="1539" t="s">
        <v>599</v>
      </c>
      <c r="F19" s="1539" t="s">
        <v>599</v>
      </c>
      <c r="G19" s="450"/>
      <c r="H19" s="450"/>
      <c r="I19" s="453">
        <v>8</v>
      </c>
    </row>
    <row r="20" spans="1:9" ht="87" customHeight="1" x14ac:dyDescent="0.35">
      <c r="A20" s="451"/>
      <c r="B20" s="33" t="s">
        <v>1182</v>
      </c>
      <c r="C20" s="33">
        <f>Валідація!C44</f>
        <v>19</v>
      </c>
      <c r="D20" s="522" t="str">
        <f>Валідація!D44</f>
        <v xml:space="preserve">Покриття витрат без амортизації
Доходи без доходів від амортизації з авансами ПМГ - витрати (таблиця 5 виробнича собівартість готової продукції та товарів + витрати таблиця 5.1. без амортизації) &gt;= 0  </v>
      </c>
      <c r="E20" s="1539" t="s">
        <v>599</v>
      </c>
      <c r="F20" s="1539" t="s">
        <v>599</v>
      </c>
      <c r="G20" s="450"/>
      <c r="H20" s="450"/>
      <c r="I20" s="453">
        <v>9</v>
      </c>
    </row>
    <row r="21" spans="1:9" ht="81" customHeight="1" x14ac:dyDescent="0.3">
      <c r="A21" s="451"/>
      <c r="B21" s="33">
        <v>15</v>
      </c>
      <c r="C21" s="33">
        <f>Валідація!C46</f>
        <v>20</v>
      </c>
      <c r="D21" s="522" t="str">
        <f>Валідація!D46</f>
        <v>Фінансовий результат
Доходи - витрати (таблиця 5 виробнича собівартість готової продукції та товарів + витрати таблиця 5.1. з амортизацією) &gt;= 0</v>
      </c>
      <c r="E21" s="1539" t="s">
        <v>599</v>
      </c>
      <c r="F21" s="1539" t="s">
        <v>599</v>
      </c>
      <c r="G21" s="450"/>
      <c r="H21" s="450"/>
      <c r="I21" s="452">
        <v>10</v>
      </c>
    </row>
    <row r="22" spans="1:9" ht="75.75" customHeight="1" x14ac:dyDescent="0.3">
      <c r="A22" s="439"/>
      <c r="B22" s="33" t="s">
        <v>1183</v>
      </c>
      <c r="C22" s="33">
        <f>Валідація!C48</f>
        <v>21</v>
      </c>
      <c r="D22" s="522" t="str">
        <f>Валідація!D48</f>
        <v xml:space="preserve">Покриття витрат з амортизацією
Доходи +  аванси ПМГ + коригування прибутку з дооцінки  - витрати (таблиця 5 виробнича собівартість готової продукції та товарів + витрати таблиця 5.1. з амортизацією)) &gt;= 0  </v>
      </c>
      <c r="E22" s="1539" t="s">
        <v>599</v>
      </c>
      <c r="F22" s="1539" t="s">
        <v>599</v>
      </c>
      <c r="G22" s="461"/>
      <c r="H22" s="461"/>
      <c r="I22" s="463">
        <v>11</v>
      </c>
    </row>
    <row r="23" spans="1:9" s="939" customFormat="1" ht="75.75" customHeight="1" x14ac:dyDescent="0.3">
      <c r="A23" s="439"/>
      <c r="B23" s="33" t="s">
        <v>604</v>
      </c>
      <c r="C23" s="33">
        <f>Валідація!C14</f>
        <v>6</v>
      </c>
      <c r="D23" s="455" t="s">
        <v>971</v>
      </c>
      <c r="E23" s="452" t="s">
        <v>968</v>
      </c>
      <c r="F23" s="463" t="s">
        <v>968</v>
      </c>
      <c r="G23" s="452"/>
      <c r="H23" s="450"/>
      <c r="I23" s="452">
        <v>12</v>
      </c>
    </row>
    <row r="24" spans="1:9" s="939" customFormat="1" ht="75.75" customHeight="1" x14ac:dyDescent="0.3">
      <c r="A24" s="439"/>
      <c r="B24" s="33">
        <v>4</v>
      </c>
      <c r="C24" s="33">
        <f>Валідація!C17</f>
        <v>8</v>
      </c>
      <c r="D24" s="522" t="s">
        <v>679</v>
      </c>
      <c r="E24" s="463" t="b">
        <v>1</v>
      </c>
      <c r="F24" s="463" t="b">
        <v>1</v>
      </c>
      <c r="G24" s="452"/>
      <c r="H24" s="450"/>
      <c r="I24" s="452">
        <v>13</v>
      </c>
    </row>
    <row r="25" spans="1:9" s="939" customFormat="1" ht="45.75" customHeight="1" x14ac:dyDescent="0.3">
      <c r="A25" s="439"/>
      <c r="B25" s="33">
        <v>5</v>
      </c>
      <c r="C25" s="33">
        <f>Валідація!C19</f>
        <v>9</v>
      </c>
      <c r="D25" s="522" t="s">
        <v>972</v>
      </c>
      <c r="E25" s="463" t="b">
        <v>1</v>
      </c>
      <c r="F25" s="463" t="b">
        <v>1</v>
      </c>
      <c r="G25" s="452"/>
      <c r="H25" s="450"/>
      <c r="I25" s="452">
        <v>14</v>
      </c>
    </row>
    <row r="26" spans="1:9" s="939" customFormat="1" ht="47.25" customHeight="1" x14ac:dyDescent="0.3">
      <c r="A26" s="439"/>
      <c r="B26" s="33">
        <v>6</v>
      </c>
      <c r="C26" s="33">
        <f>Валідація!C21</f>
        <v>10</v>
      </c>
      <c r="D26" s="522" t="s">
        <v>335</v>
      </c>
      <c r="E26" s="452" t="b">
        <v>1</v>
      </c>
      <c r="F26" s="452" t="b">
        <v>1</v>
      </c>
      <c r="G26" s="452"/>
      <c r="H26" s="450"/>
      <c r="I26" s="452">
        <v>15</v>
      </c>
    </row>
    <row r="27" spans="1:9" ht="30.6" customHeight="1" x14ac:dyDescent="0.3">
      <c r="A27" s="439"/>
      <c r="B27" s="1541" t="s">
        <v>605</v>
      </c>
      <c r="C27" s="1541"/>
      <c r="D27" s="1542" t="s">
        <v>611</v>
      </c>
      <c r="E27" s="1240" t="s">
        <v>1974</v>
      </c>
      <c r="F27" s="1543" t="s">
        <v>1975</v>
      </c>
      <c r="G27" s="1543" t="s">
        <v>1975</v>
      </c>
      <c r="H27" s="1241"/>
      <c r="I27" s="1240">
        <v>16</v>
      </c>
    </row>
    <row r="28" spans="1:9" s="457" customFormat="1" ht="84.75" customHeight="1" x14ac:dyDescent="0.3">
      <c r="A28" s="459"/>
      <c r="B28" s="33" t="s">
        <v>606</v>
      </c>
      <c r="C28" s="33">
        <f>Валідація!C25</f>
        <v>11</v>
      </c>
      <c r="D28" s="937" t="str">
        <f>Валідація!D25</f>
        <v>1. Надходження ПМГ &gt; 0;  
2.Цільове фінансування за рахунок коштів бюджетів усіх рівнів має бути відображено у таблиці 1 Надходження 
3. Перевірка, обороти бюджету
Баланс СдП 377 +Дт 37 -Баланс СдК 377 = Кт 37</v>
      </c>
      <c r="E28" s="452" t="s">
        <v>968</v>
      </c>
      <c r="F28" s="452" t="s">
        <v>968</v>
      </c>
      <c r="G28" s="452" t="s">
        <v>968</v>
      </c>
      <c r="H28" s="450"/>
      <c r="I28" s="452"/>
    </row>
    <row r="29" spans="1:9" ht="97.5" customHeight="1" x14ac:dyDescent="0.3">
      <c r="A29" s="439"/>
      <c r="B29" s="33">
        <v>7</v>
      </c>
      <c r="C29" s="33">
        <f>Валідація!C26</f>
        <v>12</v>
      </c>
      <c r="D29" s="937" t="str">
        <f>Валідація!D26</f>
        <v xml:space="preserve">1. Сума цільових надходжень у натуральній формі  може дорівнювати або бути більше на 20%, ніж сума відповідних оприбуткованих ТМЦ + КАПінвестиції 
2. Сума надходжень благодійної допомоги у натуральній формі може дорівнювати або бути більше на 20%, ніж сума  відповідних оприбуткованих ТМЦ + КАПінвестиції + дохід від безоплатно наданої послуги </v>
      </c>
      <c r="E29" s="463" t="s">
        <v>968</v>
      </c>
      <c r="F29" s="463" t="s">
        <v>968</v>
      </c>
      <c r="G29" s="463" t="s">
        <v>968</v>
      </c>
      <c r="H29" s="461"/>
      <c r="I29" s="463"/>
    </row>
    <row r="30" spans="1:9" ht="69" customHeight="1" x14ac:dyDescent="0.3">
      <c r="A30" s="439"/>
      <c r="B30" s="33">
        <v>8</v>
      </c>
      <c r="C30" s="33">
        <v>13</v>
      </c>
      <c r="D30" s="937" t="str">
        <f>Валідація!D28</f>
        <v xml:space="preserve">Сума цільових надходжень (грошові кошти) всього  &gt;= відповідні придбання ТМЦ + КАПінвестиції </v>
      </c>
      <c r="E30" s="463" t="s">
        <v>968</v>
      </c>
      <c r="F30" s="463" t="s">
        <v>968</v>
      </c>
      <c r="G30" s="463" t="s">
        <v>968</v>
      </c>
      <c r="H30" s="461"/>
      <c r="I30" s="463"/>
    </row>
    <row r="31" spans="1:9" s="457" customFormat="1" ht="69" customHeight="1" x14ac:dyDescent="0.3">
      <c r="A31" s="462"/>
      <c r="B31" s="454" t="s">
        <v>812</v>
      </c>
      <c r="C31" s="33">
        <v>14</v>
      </c>
      <c r="D31" s="937" t="str">
        <f>Валідація!D31</f>
        <v xml:space="preserve">
Якщо є заборгованість з цільового фінансування на початок періоду, то має бути погашення заборгованості бюджету з цільового фінансування  (Дт 31 Кт 37 ПЗБЦФ) </v>
      </c>
      <c r="E31" s="463" t="b">
        <v>1</v>
      </c>
      <c r="F31" s="463" t="s">
        <v>599</v>
      </c>
      <c r="G31" s="463" t="s">
        <v>599</v>
      </c>
      <c r="H31" s="461"/>
      <c r="I31" s="463"/>
    </row>
    <row r="32" spans="1:9" s="457" customFormat="1" ht="60" customHeight="1" x14ac:dyDescent="0.3">
      <c r="A32" s="462"/>
      <c r="B32" s="1544" t="s">
        <v>1252</v>
      </c>
      <c r="C32" s="33">
        <v>15</v>
      </c>
      <c r="D32" s="1545" t="str">
        <f>Валідація!D33</f>
        <v>Співвідношення надходжень (таблиця 1) та відповідних доходів (таблиця 4)</v>
      </c>
      <c r="E32" s="1546" t="b">
        <v>1</v>
      </c>
      <c r="F32" s="1546" t="s">
        <v>968</v>
      </c>
      <c r="G32" s="1546" t="s">
        <v>968</v>
      </c>
      <c r="H32" s="1547"/>
      <c r="I32" s="1546">
        <v>17</v>
      </c>
    </row>
    <row r="33" spans="1:10" s="457" customFormat="1" ht="38.25" customHeight="1" x14ac:dyDescent="0.3">
      <c r="A33" s="462"/>
      <c r="B33" s="454" t="s">
        <v>973</v>
      </c>
      <c r="C33" s="454"/>
      <c r="D33" s="1548" t="s">
        <v>612</v>
      </c>
      <c r="E33" s="1549" t="s">
        <v>1973</v>
      </c>
      <c r="F33" s="1549" t="s">
        <v>1191</v>
      </c>
      <c r="G33" s="1549" t="s">
        <v>974</v>
      </c>
      <c r="H33" s="461"/>
      <c r="I33" s="463">
        <v>18</v>
      </c>
    </row>
    <row r="34" spans="1:10" s="457" customFormat="1" ht="134.25" customHeight="1" x14ac:dyDescent="0.3">
      <c r="A34" s="462"/>
      <c r="B34" s="33">
        <v>12</v>
      </c>
      <c r="C34" s="33">
        <f>Валідація!C37</f>
        <v>16</v>
      </c>
      <c r="D34" s="937" t="str">
        <f>Валідація!D37</f>
        <v xml:space="preserve">1. Дохід за програмою медичних гарантій  &gt; 0
2. Роботи та послуги (таблиця 4) мають бути рівними або більше, ніж дохід за програмою медичних гарантій;
3. Вирахування з доходу має бути не більше, ніж повернення залишку коштів по 33 пакету (33 пакет - комірка заблокована);
4. Валідація іншого неопераційного та операційного доходів
</v>
      </c>
      <c r="E34" s="452" t="s">
        <v>968</v>
      </c>
      <c r="F34" s="452" t="s">
        <v>968</v>
      </c>
      <c r="G34" s="452" t="s">
        <v>968</v>
      </c>
      <c r="H34" s="450"/>
      <c r="I34" s="452"/>
    </row>
    <row r="35" spans="1:10" ht="102" customHeight="1" x14ac:dyDescent="0.3">
      <c r="A35" s="462"/>
      <c r="B35" s="33">
        <v>13</v>
      </c>
      <c r="C35" s="33">
        <f>Валідація!C40</f>
        <v>17</v>
      </c>
      <c r="D35" s="937" t="str">
        <f>Валідація!D40</f>
        <v xml:space="preserve">1. Дохід від реалізації робіт та послуг,  всього &gt;= дохід від реалізації послуг (з додатка Доходи ПМГ)
2. Якщо є дохід від реалізації готової продукції або товарів, то має бути відповідно виробнича собівартість готової продукції  або товарів
</v>
      </c>
      <c r="E35" s="452" t="s">
        <v>968</v>
      </c>
      <c r="F35" s="452" t="s">
        <v>968</v>
      </c>
      <c r="G35" s="452" t="s">
        <v>968</v>
      </c>
      <c r="H35" s="450"/>
      <c r="I35" s="452"/>
    </row>
    <row r="36" spans="1:10" ht="27" customHeight="1" x14ac:dyDescent="0.3">
      <c r="A36" s="439"/>
      <c r="B36" s="33">
        <v>16</v>
      </c>
      <c r="C36" s="33">
        <f>Валідація!C50</f>
        <v>22</v>
      </c>
      <c r="D36" s="522" t="s">
        <v>975</v>
      </c>
      <c r="E36" s="463" t="s">
        <v>968</v>
      </c>
      <c r="F36" s="452" t="s">
        <v>968</v>
      </c>
      <c r="G36" s="452" t="s">
        <v>968</v>
      </c>
      <c r="H36" s="450"/>
      <c r="I36" s="452"/>
    </row>
    <row r="37" spans="1:10" ht="27" customHeight="1" x14ac:dyDescent="0.3">
      <c r="A37" s="439"/>
      <c r="B37" s="33">
        <v>17</v>
      </c>
      <c r="C37" s="33">
        <f>Валідація!C53</f>
        <v>23</v>
      </c>
      <c r="D37" s="522" t="s">
        <v>339</v>
      </c>
      <c r="E37" s="1539" t="b">
        <v>1</v>
      </c>
      <c r="F37" s="1539"/>
      <c r="G37" s="461"/>
      <c r="H37" s="461"/>
      <c r="I37" s="452"/>
    </row>
    <row r="38" spans="1:10" ht="61.5" customHeight="1" x14ac:dyDescent="0.3">
      <c r="A38" s="439"/>
      <c r="B38" s="33">
        <v>18</v>
      </c>
      <c r="C38" s="33">
        <f>Валідація!C55</f>
        <v>24</v>
      </c>
      <c r="D38" s="1550" t="str">
        <f>Валідація!D55</f>
        <v>Якщо є оприбуткування та/або витрати за статтею "Кров та її компоненти", то мають бути заповнені відповідні дані у таблиці Кров та/або її компоненти (вкладка Звіт 7,8)</v>
      </c>
      <c r="E38" s="452" t="s">
        <v>968</v>
      </c>
      <c r="F38" s="452" t="s">
        <v>968</v>
      </c>
      <c r="G38" s="452"/>
      <c r="H38" s="450"/>
      <c r="I38" s="452">
        <v>19</v>
      </c>
    </row>
    <row r="39" spans="1:10" s="457" customFormat="1" ht="39.75" customHeight="1" x14ac:dyDescent="0.3">
      <c r="B39" s="1238"/>
      <c r="C39" s="1238"/>
      <c r="D39" s="1239" t="s">
        <v>981</v>
      </c>
      <c r="E39" s="1240" t="s">
        <v>1300</v>
      </c>
      <c r="F39" s="1240" t="s">
        <v>1301</v>
      </c>
      <c r="G39" s="1240" t="s">
        <v>1190</v>
      </c>
      <c r="H39" s="1241"/>
      <c r="I39" s="1240">
        <v>20</v>
      </c>
    </row>
    <row r="40" spans="1:10" s="457" customFormat="1" ht="94.9" customHeight="1" x14ac:dyDescent="0.3">
      <c r="B40" s="117" t="s">
        <v>607</v>
      </c>
      <c r="C40" s="117">
        <f>Валідація!C64</f>
        <v>28</v>
      </c>
      <c r="D40" s="522" t="str">
        <f>Валідація!D64</f>
        <v>Вілідація  411, 424, 69 (ЦФ)
СдП та СдК у таблицях 10, 11 та Балансі
Дт та Кт у таблицях 10 та 11
Якщо у Балансі є статутний капітал (відповідно до статуту складається з НА), то у таблиці 10  має бути первісна вартість ННМА та ОЗ в графі "статутний капітал"
Залишкова вартість ННМА та ОЗ не може бути менше нуля
Якщо у році зменшено статутний та неоплачений капітал, то має бути заповнена таблиця 10.1.</v>
      </c>
      <c r="E40" s="463" t="s">
        <v>968</v>
      </c>
      <c r="F40" s="463" t="s">
        <v>968</v>
      </c>
      <c r="G40" s="461"/>
      <c r="H40" s="461"/>
      <c r="I40" s="463"/>
    </row>
    <row r="41" spans="1:10" ht="72" customHeight="1" x14ac:dyDescent="0.3">
      <c r="B41" s="33">
        <v>36</v>
      </c>
      <c r="C41" s="33">
        <f>Валідація!C80</f>
        <v>33</v>
      </c>
      <c r="D41" s="522" t="s">
        <v>982</v>
      </c>
      <c r="E41" s="452" t="s">
        <v>968</v>
      </c>
      <c r="F41" s="452"/>
      <c r="G41" s="450"/>
      <c r="H41" s="450"/>
      <c r="I41" s="450"/>
    </row>
    <row r="42" spans="1:10" s="465" customFormat="1" ht="72" customHeight="1" x14ac:dyDescent="0.3">
      <c r="B42" s="33" t="s">
        <v>608</v>
      </c>
      <c r="C42" s="33">
        <f>Валідація!C83</f>
        <v>34</v>
      </c>
      <c r="D42" s="522" t="s">
        <v>983</v>
      </c>
      <c r="E42" s="452" t="s">
        <v>968</v>
      </c>
      <c r="F42" s="452" t="s">
        <v>968</v>
      </c>
      <c r="G42" s="461"/>
      <c r="H42" s="461"/>
      <c r="I42" s="461"/>
    </row>
    <row r="43" spans="1:10" ht="72" customHeight="1" x14ac:dyDescent="0.3">
      <c r="B43" s="33">
        <v>37</v>
      </c>
      <c r="C43" s="33">
        <f>Валідація!C85</f>
        <v>35</v>
      </c>
      <c r="D43" s="522" t="s">
        <v>507</v>
      </c>
      <c r="E43" s="452" t="s">
        <v>968</v>
      </c>
      <c r="F43" s="452"/>
      <c r="G43" s="450"/>
      <c r="H43" s="450"/>
      <c r="I43" s="450"/>
    </row>
    <row r="44" spans="1:10" ht="72" customHeight="1" x14ac:dyDescent="0.3">
      <c r="B44" s="33" t="s">
        <v>609</v>
      </c>
      <c r="C44" s="33">
        <f>Валідація!C88</f>
        <v>36</v>
      </c>
      <c r="D44" s="522" t="str">
        <f>Валідація!D88</f>
        <v xml:space="preserve">Цільове фінансування в частині залишків запасів та незавершених капітальних інвестицій 
1. Відповідні дані Пасиву Балансу дорівнюють сумі залишків запасів  та незавершених капітальних інвестицій, отриманих як ЦФ у таблиці 10;
2. Перевірка Дт незавершених капітальних інвестицій, отримані як цільове фінансування у таблиці 10 із відповідними даними у таблиці 3;
3. Перевірка даних СдП та СдК таблиці 10 щодо незавершених капітальних інвестицій  з відповідними даними Балансу.
</v>
      </c>
      <c r="E44" s="463" t="b">
        <v>1</v>
      </c>
      <c r="F44" s="1546" t="b">
        <v>1</v>
      </c>
      <c r="G44" s="461"/>
      <c r="H44" s="461"/>
      <c r="I44" s="461"/>
    </row>
    <row r="45" spans="1:10" ht="72" customHeight="1" x14ac:dyDescent="0.3">
      <c r="B45" s="33">
        <v>38</v>
      </c>
      <c r="C45" s="33">
        <f>Валідація!C91</f>
        <v>37</v>
      </c>
      <c r="D45" s="522" t="str">
        <f>Валідація!D91</f>
        <v xml:space="preserve">Пасив - валідація на невідповідності
1. Дані р. 1525 Балансу "Цільове фінансування (всього)" не можуть бути меншими, ніж сума відповідних рядків із запасами та капітальними інвестиціями;
2. Дані р. 1665 Балансу "Доходи майбутніх періодів (всього)" не можуть бути меншими, ніж залишкова вартість НА, ОЗ що  придбані за кошти цільового фінансування;
3. Дані р. 1635 Балансу "Поточна кредиторська заборгованість за отриманими авансами, всього" не можуть бути меншими, ніж сума р.1635.1, 1635.2, 1635.3;
4. Дані р. "Цільове фінансування інше" Балансу мають бути меншими або рівними сумі залишку грошових коштів та авансів;
5. Дані р. "Додатковий капітал інше" Балансу мають дорівнювати 0;
6. Дані р. 1660 "Поточні забезпечення" Балансу не більше витрат на оплату праці в місяць + ЕСВ;
7. Дані р. "доходи майбутніх періодів інше" Балансу  не  більше двох  місячних сум  від надання майна в оренду  (якщо Договор містить предоплати за останні місяці);
8. Дані р. 1690 "Інші поточні зобов’язання" не може містити суттєвих сум;
9. Дані р.1430  "Вилучений капітал " Балансу мають дорівнювати 0;
10. СдК запаси, що отримані від пацієнта для свого лікування як цільова благодійна допомога
розрахункове значення СдК спіставляєтьс з значенням у Балансі.
</v>
      </c>
      <c r="E45" s="463" t="b">
        <v>1</v>
      </c>
      <c r="F45" s="463" t="s">
        <v>968</v>
      </c>
      <c r="G45" s="461"/>
      <c r="H45" s="461"/>
      <c r="I45" s="461"/>
    </row>
    <row r="46" spans="1:10" ht="72" customHeight="1" x14ac:dyDescent="0.3">
      <c r="B46" s="33">
        <v>39</v>
      </c>
      <c r="C46" s="33">
        <f>Валідація!C94</f>
        <v>38</v>
      </c>
      <c r="D46" s="522" t="str">
        <f>Валідація!D94</f>
        <v>Актив - валідація на невідповідності
1. Дані р. 1125 Балансу «Дебіторська заборгованість за продукцію, товари, роботи, послуги» не можуть бути меншими, ніж сума рядків 1125.1, 1125.2., 1125.3;
2. Дані р.  1155 Балансу «Інша поточна дебіторська заборгованість, всього, у  тому числі» не можуть бути меншими, ніж сума  рядків 1155.1, 1155.2, 1155.3, 1155.4, 1155.5;
3.  Дані р. 1170  Балансу «Витрати майбутніх періодів» співвідносяться з надходженнями;
4. Дані р. 1090  Балансу «Інші необоротні активи" = 0; 
5. Дані р. 1190  Балансу  «Інші оборотні активи" не може містити суттєвих сум;
6. Якщо є заборгованість бюджету з цільового фінансування, то ця сума має бути в р. 1615 "Поточна кредиторська заборгованість за товари, роботи, послуги"
7. Звіт Пацієнт, валідація СдК дебіторська заборгованість з цільової благодійної допомоги в частині оплати самим пацієнтом свого лікування (Дт 37 ЗБПц Кт 48 Пц)
розрахункове значення СдК спіставляєтьс з значенням у Балансі</v>
      </c>
      <c r="E46" s="463" t="s">
        <v>968</v>
      </c>
      <c r="F46" s="463" t="s">
        <v>968</v>
      </c>
      <c r="G46" s="461"/>
      <c r="H46" s="461"/>
      <c r="I46" s="461"/>
    </row>
    <row r="47" spans="1:10" s="939" customFormat="1" ht="72" customHeight="1" x14ac:dyDescent="0.3">
      <c r="B47" s="33">
        <v>40</v>
      </c>
      <c r="C47" s="33">
        <f>Валідація!C96</f>
        <v>39</v>
      </c>
      <c r="D47" s="522" t="str">
        <f>Валідація!$D$96</f>
        <v>Валідація обсягу нерозподіленого прибутку 
розрахункова сума прибутку допустима у межах +-2% суми, відображеної у р.1420 Балансу</v>
      </c>
      <c r="E47" s="463" t="b">
        <v>1</v>
      </c>
      <c r="F47" s="1546" t="s">
        <v>1966</v>
      </c>
      <c r="G47" s="461"/>
      <c r="H47" s="461"/>
      <c r="I47" s="461"/>
      <c r="J47" s="457"/>
    </row>
    <row r="48" spans="1:10" ht="61.9" customHeight="1" x14ac:dyDescent="0.3">
      <c r="B48" s="33">
        <v>41</v>
      </c>
      <c r="C48" s="33">
        <f>Валідація!C98</f>
        <v>40</v>
      </c>
      <c r="D48" s="522" t="s">
        <v>984</v>
      </c>
      <c r="E48" s="463" t="s">
        <v>968</v>
      </c>
      <c r="F48" s="463" t="s">
        <v>968</v>
      </c>
      <c r="G48" s="461"/>
      <c r="H48" s="461"/>
      <c r="I48" s="461"/>
    </row>
    <row r="49" spans="1:9" ht="72" customHeight="1" x14ac:dyDescent="0.3">
      <c r="B49" s="33">
        <v>42</v>
      </c>
      <c r="C49" s="33">
        <f>Валідація!C100</f>
        <v>41</v>
      </c>
      <c r="D49" s="522" t="s">
        <v>985</v>
      </c>
      <c r="E49" s="463" t="s">
        <v>968</v>
      </c>
      <c r="F49" s="463" t="s">
        <v>968</v>
      </c>
      <c r="G49" s="461"/>
      <c r="H49" s="461"/>
      <c r="I49" s="461"/>
    </row>
    <row r="50" spans="1:9" ht="72" customHeight="1" x14ac:dyDescent="0.3">
      <c r="B50" s="33">
        <v>43</v>
      </c>
      <c r="C50" s="33">
        <v>42</v>
      </c>
      <c r="D50" s="522" t="s">
        <v>986</v>
      </c>
      <c r="E50" s="463" t="s">
        <v>968</v>
      </c>
      <c r="F50" s="463" t="s">
        <v>968</v>
      </c>
      <c r="G50" s="461"/>
      <c r="H50" s="461"/>
      <c r="I50" s="461"/>
    </row>
    <row r="51" spans="1:9" ht="72" customHeight="1" x14ac:dyDescent="0.3">
      <c r="B51" s="33">
        <v>44</v>
      </c>
      <c r="C51" s="33">
        <v>43</v>
      </c>
      <c r="D51" s="522" t="s">
        <v>987</v>
      </c>
      <c r="E51" s="463" t="s">
        <v>968</v>
      </c>
      <c r="F51" s="463" t="s">
        <v>968</v>
      </c>
      <c r="G51" s="461"/>
      <c r="H51" s="461"/>
      <c r="I51" s="461"/>
    </row>
    <row r="52" spans="1:9" ht="90" customHeight="1" x14ac:dyDescent="0.3">
      <c r="B52" s="466">
        <v>45</v>
      </c>
      <c r="C52" s="466">
        <v>44</v>
      </c>
      <c r="D52" s="522" t="s">
        <v>988</v>
      </c>
      <c r="E52" s="463" t="s">
        <v>968</v>
      </c>
      <c r="F52" s="463" t="s">
        <v>968</v>
      </c>
      <c r="G52" s="461"/>
      <c r="H52" s="461"/>
      <c r="I52" s="461"/>
    </row>
    <row r="53" spans="1:9" ht="48" customHeight="1" x14ac:dyDescent="0.3">
      <c r="B53" s="33">
        <v>46</v>
      </c>
      <c r="C53" s="33">
        <v>45</v>
      </c>
      <c r="D53" s="467" t="s">
        <v>585</v>
      </c>
      <c r="E53" s="463" t="s">
        <v>968</v>
      </c>
      <c r="F53" s="463" t="s">
        <v>968</v>
      </c>
      <c r="G53" s="463" t="s">
        <v>968</v>
      </c>
      <c r="H53" s="468"/>
      <c r="I53" s="468"/>
    </row>
    <row r="54" spans="1:9" ht="48" customHeight="1" x14ac:dyDescent="0.3">
      <c r="B54" s="33">
        <v>47</v>
      </c>
      <c r="C54" s="33">
        <v>46</v>
      </c>
      <c r="D54" s="522" t="s">
        <v>588</v>
      </c>
      <c r="E54" s="463" t="s">
        <v>968</v>
      </c>
      <c r="F54" s="463" t="s">
        <v>968</v>
      </c>
      <c r="G54" s="463" t="s">
        <v>968</v>
      </c>
      <c r="H54" s="461"/>
      <c r="I54" s="461"/>
    </row>
    <row r="55" spans="1:9" ht="90" customHeight="1" x14ac:dyDescent="0.3">
      <c r="B55" s="33">
        <v>48</v>
      </c>
      <c r="C55" s="33">
        <v>47</v>
      </c>
      <c r="D55" s="522" t="s">
        <v>1211</v>
      </c>
      <c r="E55" s="463" t="s">
        <v>968</v>
      </c>
      <c r="F55" s="463" t="s">
        <v>968</v>
      </c>
      <c r="G55" s="461"/>
      <c r="H55" s="461"/>
      <c r="I55" s="461"/>
    </row>
    <row r="56" spans="1:9" s="457" customFormat="1" ht="36" customHeight="1" x14ac:dyDescent="0.3">
      <c r="A56" s="462"/>
      <c r="B56" s="1238"/>
      <c r="C56" s="1238"/>
      <c r="D56" s="1239" t="s">
        <v>1965</v>
      </c>
      <c r="E56" s="1240" t="s">
        <v>1796</v>
      </c>
      <c r="F56" s="1240" t="s">
        <v>1796</v>
      </c>
      <c r="G56" s="1240" t="s">
        <v>1796</v>
      </c>
      <c r="H56" s="1241"/>
      <c r="I56" s="1240">
        <v>21</v>
      </c>
    </row>
    <row r="57" spans="1:9" ht="49.15" customHeight="1" x14ac:dyDescent="0.3">
      <c r="A57" s="439"/>
      <c r="B57" s="33" t="str">
        <f>Валідація!B116</f>
        <v>№19</v>
      </c>
      <c r="C57" s="33">
        <f>Валідація!C116</f>
        <v>48</v>
      </c>
      <c r="D57" s="522" t="str">
        <f>Валідація!D116</f>
        <v xml:space="preserve">Витрати на оплату праці у таблиці  5.1 із врахуванням витрат на виготовлення власної продукції мають бути більшими, ніж фонд оплати праці  у таблиці 7 </v>
      </c>
      <c r="E57" s="452" t="s">
        <v>968</v>
      </c>
      <c r="F57" s="452" t="s">
        <v>968</v>
      </c>
      <c r="G57" s="452" t="str">
        <f>F57</f>
        <v>True</v>
      </c>
      <c r="H57" s="450"/>
      <c r="I57" s="452"/>
    </row>
    <row r="58" spans="1:9" ht="49.15" customHeight="1" x14ac:dyDescent="0.3">
      <c r="A58" s="439"/>
      <c r="B58" s="33">
        <v>20</v>
      </c>
      <c r="C58" s="33">
        <v>49</v>
      </c>
      <c r="D58" s="522" t="str">
        <f>Валідація!D118</f>
        <v>Керівники - якщо є видатки у р.1.1.1.1. гр.4 таблиці 7, то має бути чисельність у р.1 керівники таблиці 8</v>
      </c>
      <c r="E58" s="452" t="s">
        <v>968</v>
      </c>
      <c r="F58" s="452" t="s">
        <v>968</v>
      </c>
      <c r="G58" s="452" t="str">
        <f t="shared" ref="G58:G63" si="0">F58</f>
        <v>True</v>
      </c>
      <c r="H58" s="450"/>
      <c r="I58" s="452"/>
    </row>
    <row r="59" spans="1:9" ht="49.15" customHeight="1" x14ac:dyDescent="0.3">
      <c r="B59" s="33">
        <v>21</v>
      </c>
      <c r="C59" s="33">
        <v>50</v>
      </c>
      <c r="D59" s="522" t="str">
        <f>Валідація!D120</f>
        <v>Керівники структурних підрозділів - якщо є видатки у р.1.1.1.2. гр.4 таблиці 7 , то має бути чисельність у р.1 гр. 5 або 6  таблиці 8</v>
      </c>
      <c r="E59" s="452" t="s">
        <v>968</v>
      </c>
      <c r="F59" s="452" t="s">
        <v>968</v>
      </c>
      <c r="G59" s="452" t="str">
        <f t="shared" si="0"/>
        <v>True</v>
      </c>
      <c r="H59" s="450"/>
      <c r="I59" s="452"/>
    </row>
    <row r="60" spans="1:9" ht="72" customHeight="1" x14ac:dyDescent="0.3">
      <c r="B60" s="33">
        <v>22</v>
      </c>
      <c r="C60" s="33">
        <v>51</v>
      </c>
      <c r="D60" s="522" t="str">
        <f>Валідація!D122</f>
        <v>Лікарі - Якщо є видатки у р.1.1.1.3. гр.4 таблиці 7, то має бути чисельність у р.1 гр. 7 "Лікарі" таблиці 8</v>
      </c>
      <c r="E60" s="452" t="s">
        <v>968</v>
      </c>
      <c r="F60" s="452" t="s">
        <v>968</v>
      </c>
      <c r="G60" s="452" t="str">
        <f t="shared" si="0"/>
        <v>True</v>
      </c>
      <c r="H60" s="450"/>
      <c r="I60" s="452"/>
    </row>
    <row r="61" spans="1:9" ht="44.65" customHeight="1" x14ac:dyDescent="0.3">
      <c r="B61" s="33">
        <v>23</v>
      </c>
      <c r="C61" s="33">
        <v>52</v>
      </c>
      <c r="D61" s="522" t="str">
        <f>Валідація!D124</f>
        <v>Середній медичний первсонал - Якщо є видатки у р.1.1.1.4. гр.4 таблиці 7, то має бути чисельність у р.1 гр. 8 "Середній медичний первсонал" таблиці 8</v>
      </c>
      <c r="E61" s="452" t="s">
        <v>968</v>
      </c>
      <c r="F61" s="452" t="s">
        <v>968</v>
      </c>
      <c r="G61" s="452" t="str">
        <f t="shared" si="0"/>
        <v>True</v>
      </c>
      <c r="H61" s="450"/>
      <c r="I61" s="452"/>
    </row>
    <row r="62" spans="1:9" ht="71.25" customHeight="1" x14ac:dyDescent="0.3">
      <c r="B62" s="33">
        <v>24</v>
      </c>
      <c r="C62" s="33">
        <v>53</v>
      </c>
      <c r="D62" s="522" t="str">
        <f>Валідація!D126</f>
        <v>Молодший медичний персонал- Якщо є видатки у р.1.1.1.5. гр.4 таблиці 7, то має бути чисельність у р.1 гр.9 "Молодший медичний персонал" таблиці 8</v>
      </c>
      <c r="E62" s="452" t="s">
        <v>968</v>
      </c>
      <c r="F62" s="452" t="s">
        <v>968</v>
      </c>
      <c r="G62" s="452" t="str">
        <f t="shared" si="0"/>
        <v>True</v>
      </c>
      <c r="H62" s="450"/>
      <c r="I62" s="452"/>
    </row>
    <row r="63" spans="1:9" ht="58.5" customHeight="1" x14ac:dyDescent="0.3">
      <c r="B63" s="33">
        <v>25</v>
      </c>
      <c r="C63" s="33">
        <v>54</v>
      </c>
      <c r="D63" s="522" t="str">
        <f>Валідація!D128</f>
        <v>Інші працівники - Якщо є видатки у р.1.1.1.6. гр.4 таблиці 7 (або гр.12), то має бути чисельність у р.1 гр. 10 "Виконують адміністративні та загальногосподарські функції" таблиці 8</v>
      </c>
      <c r="E63" s="452" t="s">
        <v>968</v>
      </c>
      <c r="F63" s="452" t="s">
        <v>968</v>
      </c>
      <c r="G63" s="452" t="str">
        <f t="shared" si="0"/>
        <v>True</v>
      </c>
      <c r="H63" s="1237"/>
      <c r="I63" s="1237"/>
    </row>
    <row r="64" spans="1:9" ht="97.5" customHeight="1" x14ac:dyDescent="0.3">
      <c r="B64" s="33">
        <v>26</v>
      </c>
      <c r="C64" s="33">
        <v>55</v>
      </c>
      <c r="D64" s="522" t="str">
        <f>Валідація!D130</f>
        <v>Таблиця 8
Має бути заповнена  гр. 12 таблиці про кількість  людино-годин,  за які була нарахована заробітна плата 
Cпіввідношення штатних працівників до загальної кількості має бути не менше 80%</v>
      </c>
      <c r="E64" s="452" t="s">
        <v>968</v>
      </c>
      <c r="F64" s="452" t="s">
        <v>968</v>
      </c>
      <c r="G64" s="452" t="str">
        <f>F64</f>
        <v>True</v>
      </c>
      <c r="H64" s="1237"/>
      <c r="I64" s="1237"/>
    </row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6" ht="18.75" customHeight="1" x14ac:dyDescent="0.3"/>
    <row r="78" ht="18.75" customHeight="1" x14ac:dyDescent="0.3"/>
    <row r="80" ht="18.75" customHeight="1" x14ac:dyDescent="0.3"/>
  </sheetData>
  <mergeCells count="1">
    <mergeCell ref="E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tabColor rgb="FFFFFF00"/>
  </sheetPr>
  <dimension ref="A1:AI50"/>
  <sheetViews>
    <sheetView view="pageBreakPreview" topLeftCell="A16" zoomScale="50" zoomScaleNormal="60" zoomScaleSheetLayoutView="50" workbookViewId="0">
      <selection activeCell="H25" sqref="H25"/>
    </sheetView>
  </sheetViews>
  <sheetFormatPr defaultColWidth="9.28515625" defaultRowHeight="15" x14ac:dyDescent="0.25"/>
  <cols>
    <col min="1" max="1" width="9.28515625" style="29" customWidth="1"/>
    <col min="2" max="2" width="9.28515625" style="29" hidden="1" customWidth="1"/>
    <col min="3" max="3" width="80.7109375" style="29" customWidth="1"/>
    <col min="4" max="4" width="17.5703125" style="29" customWidth="1"/>
    <col min="5" max="5" width="22.5703125" style="29" customWidth="1"/>
    <col min="6" max="6" width="18.28515625" style="29" customWidth="1"/>
    <col min="7" max="7" width="19.28515625" style="29" customWidth="1"/>
    <col min="8" max="8" width="18.28515625" style="29" customWidth="1"/>
    <col min="9" max="9" width="9.28515625" style="87"/>
    <col min="10" max="10" width="123.5703125" style="87" customWidth="1"/>
    <col min="11" max="11" width="9.28515625" style="73" customWidth="1"/>
    <col min="12" max="35" width="9.28515625" style="73"/>
    <col min="36" max="16384" width="9.28515625" style="9"/>
  </cols>
  <sheetData>
    <row r="1" spans="1:35" ht="18" customHeight="1" x14ac:dyDescent="0.25">
      <c r="C1" s="118" t="s">
        <v>0</v>
      </c>
      <c r="D1" s="2702" t="str">
        <f>'Звіт 1,2,3'!D1</f>
        <v>02006707</v>
      </c>
      <c r="E1" s="2702"/>
      <c r="F1" s="2703" t="s">
        <v>1</v>
      </c>
      <c r="G1" s="2703"/>
      <c r="H1" s="119">
        <f>'Звіт 1,2,3'!H1</f>
        <v>430</v>
      </c>
    </row>
    <row r="2" spans="1:35" ht="47.65" customHeight="1" x14ac:dyDescent="0.25">
      <c r="F2" s="2704" t="s">
        <v>214</v>
      </c>
      <c r="G2" s="2705"/>
      <c r="H2" s="2705"/>
    </row>
    <row r="3" spans="1:35" ht="23.65" customHeight="1" x14ac:dyDescent="0.3">
      <c r="A3" s="2706" t="s">
        <v>279</v>
      </c>
      <c r="B3" s="2706"/>
      <c r="C3" s="2706"/>
      <c r="D3" s="2706"/>
      <c r="E3" s="2706"/>
      <c r="F3" s="2706"/>
      <c r="G3" s="2706"/>
      <c r="H3" s="2706"/>
    </row>
    <row r="4" spans="1:35" ht="17.649999999999999" customHeight="1" thickBot="1" x14ac:dyDescent="0.35">
      <c r="H4" s="120" t="s">
        <v>248</v>
      </c>
    </row>
    <row r="5" spans="1:35" ht="18.75" customHeight="1" x14ac:dyDescent="0.25">
      <c r="A5" s="2707" t="s">
        <v>6</v>
      </c>
      <c r="B5" s="947"/>
      <c r="C5" s="2701" t="s">
        <v>7</v>
      </c>
      <c r="D5" s="2698" t="s">
        <v>86</v>
      </c>
      <c r="E5" s="2698" t="s">
        <v>8</v>
      </c>
      <c r="F5" s="2698" t="s">
        <v>93</v>
      </c>
      <c r="G5" s="2698" t="s">
        <v>94</v>
      </c>
      <c r="H5" s="2699" t="s">
        <v>313</v>
      </c>
    </row>
    <row r="6" spans="1:35" ht="18.75" customHeight="1" x14ac:dyDescent="0.25">
      <c r="A6" s="2708"/>
      <c r="B6" s="948"/>
      <c r="C6" s="2187"/>
      <c r="D6" s="2186"/>
      <c r="E6" s="2186"/>
      <c r="F6" s="2186"/>
      <c r="G6" s="2186"/>
      <c r="H6" s="2700"/>
    </row>
    <row r="7" spans="1:35" ht="15.6" customHeight="1" x14ac:dyDescent="0.25">
      <c r="A7" s="2708"/>
      <c r="B7" s="948"/>
      <c r="C7" s="2187"/>
      <c r="D7" s="2186"/>
      <c r="E7" s="2186"/>
      <c r="F7" s="2186"/>
      <c r="G7" s="2186"/>
      <c r="H7" s="2700"/>
    </row>
    <row r="8" spans="1:35" s="21" customFormat="1" ht="15.75" x14ac:dyDescent="0.25">
      <c r="A8" s="84" t="s">
        <v>9</v>
      </c>
      <c r="B8" s="949"/>
      <c r="C8" s="49">
        <v>2</v>
      </c>
      <c r="D8" s="38">
        <v>3</v>
      </c>
      <c r="E8" s="49">
        <v>4</v>
      </c>
      <c r="F8" s="38">
        <v>5</v>
      </c>
      <c r="G8" s="49">
        <v>6</v>
      </c>
      <c r="H8" s="83">
        <v>7</v>
      </c>
      <c r="I8" s="121"/>
      <c r="J8" s="121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</row>
    <row r="9" spans="1:35" ht="24" customHeight="1" x14ac:dyDescent="0.3">
      <c r="A9" s="123"/>
      <c r="B9" s="950"/>
      <c r="C9" s="124" t="s">
        <v>187</v>
      </c>
      <c r="D9" s="44">
        <f>SUM(D10:D50)</f>
        <v>0</v>
      </c>
      <c r="E9" s="44">
        <f>SUM(E10:E50)</f>
        <v>50956018.719999999</v>
      </c>
      <c r="F9" s="44">
        <f>SUM(F10:F50)</f>
        <v>167460</v>
      </c>
      <c r="G9" s="44">
        <f>SUM(G10:G50)</f>
        <v>50864364</v>
      </c>
      <c r="H9" s="44">
        <f>SUM(H10:H50)</f>
        <v>-75805.279999999999</v>
      </c>
    </row>
    <row r="10" spans="1:35" ht="24" customHeight="1" x14ac:dyDescent="0.3">
      <c r="A10" s="26">
        <v>1</v>
      </c>
      <c r="B10" s="951"/>
      <c r="C10" s="31" t="s">
        <v>215</v>
      </c>
      <c r="D10" s="112">
        <v>0</v>
      </c>
      <c r="E10" s="146">
        <f>F10+G10+H10</f>
        <v>0</v>
      </c>
      <c r="F10" s="293">
        <v>0</v>
      </c>
      <c r="G10" s="293">
        <v>0</v>
      </c>
      <c r="H10" s="293">
        <v>0</v>
      </c>
    </row>
    <row r="11" spans="1:35" ht="24" customHeight="1" x14ac:dyDescent="0.3">
      <c r="A11" s="26">
        <v>2</v>
      </c>
      <c r="B11" s="951"/>
      <c r="C11" s="31" t="s">
        <v>216</v>
      </c>
      <c r="D11" s="112">
        <v>0</v>
      </c>
      <c r="E11" s="146">
        <f t="shared" ref="E11:E36" si="0">F11+G11+H11</f>
        <v>0</v>
      </c>
      <c r="F11" s="293">
        <v>0</v>
      </c>
      <c r="G11" s="293">
        <v>0</v>
      </c>
      <c r="H11" s="293">
        <v>0</v>
      </c>
    </row>
    <row r="12" spans="1:35" s="29" customFormat="1" ht="34.5" customHeight="1" x14ac:dyDescent="0.3">
      <c r="A12" s="26">
        <v>3</v>
      </c>
      <c r="B12" s="951"/>
      <c r="C12" s="25" t="s">
        <v>217</v>
      </c>
      <c r="D12" s="112">
        <v>0</v>
      </c>
      <c r="E12" s="146">
        <f t="shared" si="0"/>
        <v>170604</v>
      </c>
      <c r="F12" s="293">
        <v>167460</v>
      </c>
      <c r="G12" s="293">
        <v>3144</v>
      </c>
      <c r="H12" s="293">
        <v>0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1:35" ht="37.5" x14ac:dyDescent="0.3">
      <c r="A13" s="26">
        <v>4</v>
      </c>
      <c r="B13" s="951"/>
      <c r="C13" s="25" t="s">
        <v>218</v>
      </c>
      <c r="D13" s="112">
        <v>0</v>
      </c>
      <c r="E13" s="146">
        <f t="shared" si="0"/>
        <v>0</v>
      </c>
      <c r="F13" s="293">
        <v>0</v>
      </c>
      <c r="G13" s="293">
        <v>0</v>
      </c>
      <c r="H13" s="293">
        <v>0</v>
      </c>
    </row>
    <row r="14" spans="1:35" ht="37.5" x14ac:dyDescent="0.3">
      <c r="A14" s="26">
        <v>5</v>
      </c>
      <c r="B14" s="951"/>
      <c r="C14" s="25" t="s">
        <v>219</v>
      </c>
      <c r="D14" s="112">
        <v>0</v>
      </c>
      <c r="E14" s="146">
        <f t="shared" si="0"/>
        <v>0</v>
      </c>
      <c r="F14" s="293">
        <v>0</v>
      </c>
      <c r="G14" s="293">
        <v>0</v>
      </c>
      <c r="H14" s="293">
        <v>0</v>
      </c>
    </row>
    <row r="15" spans="1:35" ht="35.1" customHeight="1" x14ac:dyDescent="0.3">
      <c r="A15" s="26">
        <v>6</v>
      </c>
      <c r="B15" s="951"/>
      <c r="C15" s="25" t="s">
        <v>220</v>
      </c>
      <c r="D15" s="112">
        <v>0</v>
      </c>
      <c r="E15" s="146">
        <f t="shared" si="0"/>
        <v>0</v>
      </c>
      <c r="F15" s="293">
        <v>0</v>
      </c>
      <c r="G15" s="293">
        <v>0</v>
      </c>
      <c r="H15" s="293">
        <v>0</v>
      </c>
    </row>
    <row r="16" spans="1:35" ht="34.5" customHeight="1" x14ac:dyDescent="0.3">
      <c r="A16" s="26">
        <v>7</v>
      </c>
      <c r="B16" s="951"/>
      <c r="C16" s="25" t="s">
        <v>240</v>
      </c>
      <c r="D16" s="112">
        <v>0</v>
      </c>
      <c r="E16" s="146">
        <f t="shared" si="0"/>
        <v>0</v>
      </c>
      <c r="F16" s="293">
        <v>0</v>
      </c>
      <c r="G16" s="293">
        <v>0</v>
      </c>
      <c r="H16" s="293">
        <v>0</v>
      </c>
    </row>
    <row r="17" spans="1:8" ht="37.5" x14ac:dyDescent="0.3">
      <c r="A17" s="26">
        <v>8</v>
      </c>
      <c r="B17" s="951"/>
      <c r="C17" s="25" t="s">
        <v>241</v>
      </c>
      <c r="D17" s="112">
        <v>0</v>
      </c>
      <c r="E17" s="146">
        <f t="shared" si="0"/>
        <v>0</v>
      </c>
      <c r="F17" s="293">
        <v>0</v>
      </c>
      <c r="G17" s="293">
        <v>0</v>
      </c>
      <c r="H17" s="293">
        <v>0</v>
      </c>
    </row>
    <row r="18" spans="1:8" ht="79.349999999999994" customHeight="1" x14ac:dyDescent="0.3">
      <c r="A18" s="26">
        <v>9</v>
      </c>
      <c r="B18" s="951"/>
      <c r="C18" s="25" t="s">
        <v>221</v>
      </c>
      <c r="D18" s="112">
        <v>0</v>
      </c>
      <c r="E18" s="146">
        <f t="shared" si="0"/>
        <v>460155</v>
      </c>
      <c r="F18" s="293">
        <v>0</v>
      </c>
      <c r="G18" s="293">
        <v>460155</v>
      </c>
      <c r="H18" s="293">
        <v>0</v>
      </c>
    </row>
    <row r="19" spans="1:8" ht="20.100000000000001" customHeight="1" x14ac:dyDescent="0.3">
      <c r="A19" s="26">
        <v>10</v>
      </c>
      <c r="B19" s="951"/>
      <c r="C19" s="25" t="s">
        <v>222</v>
      </c>
      <c r="D19" s="112">
        <v>0</v>
      </c>
      <c r="E19" s="146">
        <f t="shared" si="0"/>
        <v>0</v>
      </c>
      <c r="F19" s="293">
        <v>0</v>
      </c>
      <c r="G19" s="293">
        <v>0</v>
      </c>
      <c r="H19" s="293">
        <v>0</v>
      </c>
    </row>
    <row r="20" spans="1:8" ht="20.100000000000001" customHeight="1" x14ac:dyDescent="0.3">
      <c r="A20" s="26">
        <v>11</v>
      </c>
      <c r="B20" s="951"/>
      <c r="C20" s="25" t="s">
        <v>223</v>
      </c>
      <c r="D20" s="112">
        <v>0</v>
      </c>
      <c r="E20" s="146">
        <f t="shared" si="0"/>
        <v>0</v>
      </c>
      <c r="F20" s="293">
        <v>0</v>
      </c>
      <c r="G20" s="293">
        <v>0</v>
      </c>
      <c r="H20" s="293">
        <v>0</v>
      </c>
    </row>
    <row r="21" spans="1:8" ht="20.100000000000001" customHeight="1" x14ac:dyDescent="0.3">
      <c r="A21" s="26">
        <v>12</v>
      </c>
      <c r="B21" s="951"/>
      <c r="C21" s="25" t="s">
        <v>224</v>
      </c>
      <c r="D21" s="112">
        <v>0</v>
      </c>
      <c r="E21" s="146">
        <f t="shared" si="0"/>
        <v>0</v>
      </c>
      <c r="F21" s="293">
        <v>0</v>
      </c>
      <c r="G21" s="293">
        <v>0</v>
      </c>
      <c r="H21" s="293">
        <v>0</v>
      </c>
    </row>
    <row r="22" spans="1:8" ht="20.100000000000001" customHeight="1" x14ac:dyDescent="0.3">
      <c r="A22" s="26">
        <v>13</v>
      </c>
      <c r="B22" s="951"/>
      <c r="C22" s="25" t="s">
        <v>225</v>
      </c>
      <c r="D22" s="112">
        <v>0</v>
      </c>
      <c r="E22" s="146">
        <f t="shared" si="0"/>
        <v>0</v>
      </c>
      <c r="F22" s="293">
        <v>0</v>
      </c>
      <c r="G22" s="293">
        <v>0</v>
      </c>
      <c r="H22" s="293">
        <v>0</v>
      </c>
    </row>
    <row r="23" spans="1:8" ht="20.100000000000001" customHeight="1" x14ac:dyDescent="0.3">
      <c r="A23" s="26">
        <v>14</v>
      </c>
      <c r="B23" s="951"/>
      <c r="C23" s="25" t="s">
        <v>226</v>
      </c>
      <c r="D23" s="112">
        <v>0</v>
      </c>
      <c r="E23" s="146">
        <f t="shared" si="0"/>
        <v>0</v>
      </c>
      <c r="F23" s="293">
        <v>0</v>
      </c>
      <c r="G23" s="293">
        <v>0</v>
      </c>
      <c r="H23" s="293">
        <v>0</v>
      </c>
    </row>
    <row r="24" spans="1:8" ht="20.100000000000001" customHeight="1" x14ac:dyDescent="0.3">
      <c r="A24" s="26">
        <v>15</v>
      </c>
      <c r="B24" s="951"/>
      <c r="C24" s="25" t="s">
        <v>227</v>
      </c>
      <c r="D24" s="112">
        <v>0</v>
      </c>
      <c r="E24" s="146">
        <f t="shared" si="0"/>
        <v>58467.72</v>
      </c>
      <c r="F24" s="293">
        <v>0</v>
      </c>
      <c r="G24" s="293">
        <v>134273</v>
      </c>
      <c r="H24" s="293">
        <v>-75805.279999999999</v>
      </c>
    </row>
    <row r="25" spans="1:8" ht="57" customHeight="1" x14ac:dyDescent="0.3">
      <c r="A25" s="26">
        <v>16</v>
      </c>
      <c r="B25" s="951"/>
      <c r="C25" s="25" t="s">
        <v>228</v>
      </c>
      <c r="D25" s="112">
        <v>0</v>
      </c>
      <c r="E25" s="146">
        <f t="shared" si="0"/>
        <v>0</v>
      </c>
      <c r="F25" s="293">
        <v>0</v>
      </c>
      <c r="G25" s="293">
        <v>0</v>
      </c>
      <c r="H25" s="293">
        <v>0</v>
      </c>
    </row>
    <row r="26" spans="1:8" ht="37.5" x14ac:dyDescent="0.3">
      <c r="A26" s="26">
        <v>17</v>
      </c>
      <c r="B26" s="951"/>
      <c r="C26" s="30" t="s">
        <v>229</v>
      </c>
      <c r="D26" s="112">
        <v>0</v>
      </c>
      <c r="E26" s="146">
        <f t="shared" si="0"/>
        <v>0</v>
      </c>
      <c r="F26" s="293">
        <v>0</v>
      </c>
      <c r="G26" s="293">
        <v>0</v>
      </c>
      <c r="H26" s="293">
        <v>0</v>
      </c>
    </row>
    <row r="27" spans="1:8" ht="37.5" x14ac:dyDescent="0.3">
      <c r="A27" s="26">
        <v>18</v>
      </c>
      <c r="B27" s="951"/>
      <c r="C27" s="30" t="s">
        <v>230</v>
      </c>
      <c r="D27" s="112">
        <v>0</v>
      </c>
      <c r="E27" s="146">
        <f t="shared" si="0"/>
        <v>0</v>
      </c>
      <c r="F27" s="293">
        <v>0</v>
      </c>
      <c r="G27" s="293">
        <v>0</v>
      </c>
      <c r="H27" s="293">
        <v>0</v>
      </c>
    </row>
    <row r="28" spans="1:8" ht="26.1" customHeight="1" x14ac:dyDescent="0.3">
      <c r="A28" s="26">
        <v>19</v>
      </c>
      <c r="B28" s="951"/>
      <c r="C28" s="30" t="s">
        <v>231</v>
      </c>
      <c r="D28" s="112">
        <v>0</v>
      </c>
      <c r="E28" s="146">
        <f t="shared" si="0"/>
        <v>0</v>
      </c>
      <c r="F28" s="293">
        <v>0</v>
      </c>
      <c r="G28" s="293">
        <v>0</v>
      </c>
      <c r="H28" s="293">
        <v>0</v>
      </c>
    </row>
    <row r="29" spans="1:8" ht="57" customHeight="1" x14ac:dyDescent="0.3">
      <c r="A29" s="26">
        <v>20</v>
      </c>
      <c r="B29" s="951"/>
      <c r="C29" s="30" t="s">
        <v>232</v>
      </c>
      <c r="D29" s="112">
        <v>0</v>
      </c>
      <c r="E29" s="146">
        <f t="shared" si="0"/>
        <v>36755553</v>
      </c>
      <c r="F29" s="293">
        <v>0</v>
      </c>
      <c r="G29" s="293">
        <v>36755553</v>
      </c>
      <c r="H29" s="293">
        <v>0</v>
      </c>
    </row>
    <row r="30" spans="1:8" ht="26.1" customHeight="1" x14ac:dyDescent="0.3">
      <c r="A30" s="26">
        <v>21</v>
      </c>
      <c r="B30" s="951"/>
      <c r="C30" s="30" t="s">
        <v>233</v>
      </c>
      <c r="D30" s="112">
        <v>0</v>
      </c>
      <c r="E30" s="146">
        <f t="shared" si="0"/>
        <v>89602</v>
      </c>
      <c r="F30" s="293">
        <v>0</v>
      </c>
      <c r="G30" s="293">
        <v>89602</v>
      </c>
      <c r="H30" s="293">
        <v>0</v>
      </c>
    </row>
    <row r="31" spans="1:8" ht="72.599999999999994" customHeight="1" x14ac:dyDescent="0.3">
      <c r="A31" s="26">
        <v>22</v>
      </c>
      <c r="B31" s="951"/>
      <c r="C31" s="30" t="s">
        <v>234</v>
      </c>
      <c r="D31" s="112">
        <v>0</v>
      </c>
      <c r="E31" s="146">
        <f t="shared" si="0"/>
        <v>17362</v>
      </c>
      <c r="F31" s="293">
        <v>0</v>
      </c>
      <c r="G31" s="293">
        <v>17362</v>
      </c>
      <c r="H31" s="293">
        <v>0</v>
      </c>
    </row>
    <row r="32" spans="1:8" ht="36" customHeight="1" x14ac:dyDescent="0.3">
      <c r="A32" s="26">
        <v>23</v>
      </c>
      <c r="B32" s="951"/>
      <c r="C32" s="30" t="s">
        <v>235</v>
      </c>
      <c r="D32" s="112">
        <v>0</v>
      </c>
      <c r="E32" s="146">
        <f t="shared" si="0"/>
        <v>157548</v>
      </c>
      <c r="F32" s="293">
        <v>0</v>
      </c>
      <c r="G32" s="293">
        <v>157548</v>
      </c>
      <c r="H32" s="293">
        <v>0</v>
      </c>
    </row>
    <row r="33" spans="1:10" ht="36" customHeight="1" x14ac:dyDescent="0.3">
      <c r="A33" s="26">
        <v>24</v>
      </c>
      <c r="B33" s="951"/>
      <c r="C33" s="30" t="s">
        <v>236</v>
      </c>
      <c r="D33" s="112">
        <v>0</v>
      </c>
      <c r="E33" s="146">
        <f t="shared" si="0"/>
        <v>253188</v>
      </c>
      <c r="F33" s="293">
        <v>0</v>
      </c>
      <c r="G33" s="293">
        <v>253188</v>
      </c>
      <c r="H33" s="293">
        <v>0</v>
      </c>
    </row>
    <row r="34" spans="1:10" ht="54" customHeight="1" x14ac:dyDescent="0.3">
      <c r="A34" s="26">
        <v>25</v>
      </c>
      <c r="B34" s="951"/>
      <c r="C34" s="30" t="s">
        <v>237</v>
      </c>
      <c r="D34" s="112">
        <v>0</v>
      </c>
      <c r="E34" s="146">
        <f t="shared" si="0"/>
        <v>0</v>
      </c>
      <c r="F34" s="293">
        <v>0</v>
      </c>
      <c r="G34" s="293">
        <v>0</v>
      </c>
      <c r="H34" s="293">
        <v>0</v>
      </c>
    </row>
    <row r="35" spans="1:10" ht="37.5" x14ac:dyDescent="0.3">
      <c r="A35" s="26">
        <v>26</v>
      </c>
      <c r="B35" s="951"/>
      <c r="C35" s="30" t="s">
        <v>238</v>
      </c>
      <c r="D35" s="112">
        <v>0</v>
      </c>
      <c r="E35" s="146">
        <f t="shared" si="0"/>
        <v>0</v>
      </c>
      <c r="F35" s="293">
        <v>0</v>
      </c>
      <c r="G35" s="293">
        <v>0</v>
      </c>
      <c r="H35" s="293">
        <v>0</v>
      </c>
    </row>
    <row r="36" spans="1:10" ht="50.65" customHeight="1" x14ac:dyDescent="0.3">
      <c r="A36" s="26">
        <v>27</v>
      </c>
      <c r="B36" s="951"/>
      <c r="C36" s="30" t="s">
        <v>239</v>
      </c>
      <c r="D36" s="112">
        <v>0</v>
      </c>
      <c r="E36" s="146">
        <f t="shared" si="0"/>
        <v>0</v>
      </c>
      <c r="F36" s="293">
        <v>0</v>
      </c>
      <c r="G36" s="293">
        <v>0</v>
      </c>
      <c r="H36" s="293">
        <v>0</v>
      </c>
    </row>
    <row r="37" spans="1:10" ht="95.65" customHeight="1" x14ac:dyDescent="0.3">
      <c r="A37" s="26">
        <v>28</v>
      </c>
      <c r="B37" s="951"/>
      <c r="C37" s="916" t="s">
        <v>365</v>
      </c>
      <c r="D37" s="293">
        <v>0</v>
      </c>
      <c r="E37" s="146">
        <f t="shared" ref="E37:E50" si="1">F37+G37+H37</f>
        <v>0</v>
      </c>
      <c r="F37" s="293">
        <v>0</v>
      </c>
      <c r="G37" s="293">
        <v>0</v>
      </c>
      <c r="H37" s="293">
        <v>0</v>
      </c>
    </row>
    <row r="38" spans="1:10" ht="99" customHeight="1" x14ac:dyDescent="0.3">
      <c r="A38" s="26">
        <v>29</v>
      </c>
      <c r="B38" s="951"/>
      <c r="C38" s="916" t="s">
        <v>366</v>
      </c>
      <c r="D38" s="293">
        <v>0</v>
      </c>
      <c r="E38" s="146">
        <f t="shared" si="1"/>
        <v>0</v>
      </c>
      <c r="F38" s="293">
        <v>0</v>
      </c>
      <c r="G38" s="293">
        <v>0</v>
      </c>
      <c r="H38" s="293">
        <v>0</v>
      </c>
    </row>
    <row r="39" spans="1:10" ht="75" x14ac:dyDescent="0.3">
      <c r="A39" s="26">
        <v>30</v>
      </c>
      <c r="B39" s="951"/>
      <c r="C39" s="916" t="s">
        <v>367</v>
      </c>
      <c r="D39" s="293">
        <v>0</v>
      </c>
      <c r="E39" s="146">
        <f t="shared" si="1"/>
        <v>0</v>
      </c>
      <c r="F39" s="293">
        <v>0</v>
      </c>
      <c r="G39" s="293">
        <v>0</v>
      </c>
      <c r="H39" s="293">
        <v>0</v>
      </c>
    </row>
    <row r="40" spans="1:10" ht="60.6" customHeight="1" x14ac:dyDescent="0.3">
      <c r="A40" s="26">
        <v>31</v>
      </c>
      <c r="B40" s="951"/>
      <c r="C40" s="30" t="s">
        <v>364</v>
      </c>
      <c r="D40" s="293">
        <v>0</v>
      </c>
      <c r="E40" s="146">
        <f t="shared" si="1"/>
        <v>0</v>
      </c>
      <c r="F40" s="293">
        <v>0</v>
      </c>
      <c r="G40" s="293">
        <v>0</v>
      </c>
      <c r="H40" s="293">
        <v>0</v>
      </c>
    </row>
    <row r="41" spans="1:10" ht="83.65" customHeight="1" x14ac:dyDescent="0.3">
      <c r="A41" s="26">
        <v>32</v>
      </c>
      <c r="B41" s="951"/>
      <c r="C41" s="916" t="s">
        <v>637</v>
      </c>
      <c r="D41" s="293">
        <v>0</v>
      </c>
      <c r="E41" s="146">
        <f t="shared" si="1"/>
        <v>0</v>
      </c>
      <c r="F41" s="293">
        <v>0</v>
      </c>
      <c r="G41" s="293">
        <v>0</v>
      </c>
      <c r="H41" s="293">
        <v>0</v>
      </c>
      <c r="J41" s="254"/>
    </row>
    <row r="42" spans="1:10" ht="66" customHeight="1" x14ac:dyDescent="0.3">
      <c r="A42" s="26">
        <v>33</v>
      </c>
      <c r="B42" s="951"/>
      <c r="C42" s="30" t="s">
        <v>638</v>
      </c>
      <c r="D42" s="112">
        <v>0</v>
      </c>
      <c r="E42" s="146">
        <f t="shared" si="1"/>
        <v>12993539</v>
      </c>
      <c r="F42" s="293">
        <v>0</v>
      </c>
      <c r="G42" s="293">
        <v>12993539</v>
      </c>
      <c r="H42" s="293">
        <v>0</v>
      </c>
    </row>
    <row r="43" spans="1:10" ht="26.25" customHeight="1" x14ac:dyDescent="0.3">
      <c r="A43" s="26">
        <v>34</v>
      </c>
      <c r="B43" s="951"/>
      <c r="C43" s="934" t="s">
        <v>1244</v>
      </c>
      <c r="D43" s="293">
        <v>0</v>
      </c>
      <c r="E43" s="146">
        <f t="shared" si="1"/>
        <v>0</v>
      </c>
      <c r="F43" s="293">
        <v>0</v>
      </c>
      <c r="G43" s="293">
        <v>0</v>
      </c>
      <c r="H43" s="293">
        <v>0</v>
      </c>
    </row>
    <row r="44" spans="1:10" ht="33.75" customHeight="1" x14ac:dyDescent="0.3">
      <c r="A44" s="26">
        <v>35</v>
      </c>
      <c r="B44" s="951"/>
      <c r="C44" s="934" t="s">
        <v>1245</v>
      </c>
      <c r="D44" s="293">
        <v>0</v>
      </c>
      <c r="E44" s="146">
        <f t="shared" si="1"/>
        <v>0</v>
      </c>
      <c r="F44" s="293">
        <v>0</v>
      </c>
      <c r="G44" s="293">
        <v>0</v>
      </c>
      <c r="H44" s="293">
        <v>0</v>
      </c>
    </row>
    <row r="45" spans="1:10" ht="37.5" x14ac:dyDescent="0.3">
      <c r="A45" s="26">
        <v>36</v>
      </c>
      <c r="B45" s="951"/>
      <c r="C45" s="937" t="s">
        <v>1246</v>
      </c>
      <c r="D45" s="293">
        <v>0</v>
      </c>
      <c r="E45" s="146">
        <f t="shared" si="1"/>
        <v>0</v>
      </c>
      <c r="F45" s="293">
        <v>0</v>
      </c>
      <c r="G45" s="293">
        <v>0</v>
      </c>
      <c r="H45" s="293">
        <v>0</v>
      </c>
    </row>
    <row r="46" spans="1:10" ht="56.25" x14ac:dyDescent="0.3">
      <c r="A46" s="26">
        <v>37</v>
      </c>
      <c r="B46" s="951"/>
      <c r="C46" s="934" t="s">
        <v>1247</v>
      </c>
      <c r="D46" s="293">
        <v>0</v>
      </c>
      <c r="E46" s="146">
        <f t="shared" si="1"/>
        <v>0</v>
      </c>
      <c r="F46" s="293">
        <v>0</v>
      </c>
      <c r="G46" s="293">
        <v>0</v>
      </c>
      <c r="H46" s="293">
        <v>0</v>
      </c>
    </row>
    <row r="47" spans="1:10" ht="52.5" customHeight="1" x14ac:dyDescent="0.3">
      <c r="A47" s="26">
        <v>38</v>
      </c>
      <c r="B47" s="951"/>
      <c r="C47" s="934" t="s">
        <v>1248</v>
      </c>
      <c r="D47" s="293">
        <v>0</v>
      </c>
      <c r="E47" s="146">
        <f t="shared" si="1"/>
        <v>0</v>
      </c>
      <c r="F47" s="293">
        <v>0</v>
      </c>
      <c r="G47" s="293">
        <v>0</v>
      </c>
      <c r="H47" s="293">
        <v>0</v>
      </c>
    </row>
    <row r="48" spans="1:10" ht="63" customHeight="1" x14ac:dyDescent="0.3">
      <c r="A48" s="26">
        <v>39</v>
      </c>
      <c r="B48" s="951"/>
      <c r="C48" s="934" t="s">
        <v>1249</v>
      </c>
      <c r="D48" s="293">
        <v>0</v>
      </c>
      <c r="E48" s="146">
        <f t="shared" si="1"/>
        <v>0</v>
      </c>
      <c r="F48" s="293">
        <v>0</v>
      </c>
      <c r="G48" s="293">
        <v>0</v>
      </c>
      <c r="H48" s="293">
        <v>0</v>
      </c>
    </row>
    <row r="49" spans="1:8" ht="56.25" x14ac:dyDescent="0.3">
      <c r="A49" s="26">
        <v>40</v>
      </c>
      <c r="B49" s="951"/>
      <c r="C49" s="934" t="s">
        <v>1250</v>
      </c>
      <c r="D49" s="293">
        <v>0</v>
      </c>
      <c r="E49" s="146">
        <f t="shared" si="1"/>
        <v>0</v>
      </c>
      <c r="F49" s="293">
        <v>0</v>
      </c>
      <c r="G49" s="293">
        <v>0</v>
      </c>
      <c r="H49" s="293">
        <v>0</v>
      </c>
    </row>
    <row r="50" spans="1:8" ht="18.75" x14ac:dyDescent="0.3">
      <c r="A50" s="26">
        <v>41</v>
      </c>
      <c r="B50" s="951"/>
      <c r="C50" s="934" t="s">
        <v>1251</v>
      </c>
      <c r="D50" s="293">
        <v>0</v>
      </c>
      <c r="E50" s="146">
        <f t="shared" si="1"/>
        <v>0</v>
      </c>
      <c r="F50" s="293">
        <v>0</v>
      </c>
      <c r="G50" s="293">
        <v>0</v>
      </c>
      <c r="H50" s="293">
        <v>0</v>
      </c>
    </row>
  </sheetData>
  <sheetProtection password="F86B" sheet="1" formatCells="0" formatColumns="0" formatRows="0"/>
  <mergeCells count="11">
    <mergeCell ref="D1:E1"/>
    <mergeCell ref="F1:G1"/>
    <mergeCell ref="F2:H2"/>
    <mergeCell ref="A3:H3"/>
    <mergeCell ref="A5:A7"/>
    <mergeCell ref="F5:F7"/>
    <mergeCell ref="G5:G7"/>
    <mergeCell ref="H5:H7"/>
    <mergeCell ref="E5:E7"/>
    <mergeCell ref="C5:C7"/>
    <mergeCell ref="D5:D7"/>
  </mergeCells>
  <dataValidations count="2">
    <dataValidation type="decimal" operator="greaterThanOrEqual" showInputMessage="1" showErrorMessage="1" error="Будь ласка, вкажіть додатнє число." sqref="D9:G50 H9">
      <formula1>0</formula1>
    </dataValidation>
    <dataValidation type="decimal" operator="lessThanOrEqual" showInputMessage="1" showErrorMessage="1" error="Будь ласка, вкажіть від’ємне число." sqref="H10:H50">
      <formula1>0</formula1>
    </dataValidation>
  </dataValidations>
  <pageMargins left="0.11811023622047245" right="0.11811023622047245" top="0.15748031496062992" bottom="0.15748031496062992" header="0.31496062992125984" footer="0.31496062992125984"/>
  <pageSetup paperSize="9" scale="57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tabColor rgb="FFFFFF00"/>
  </sheetPr>
  <dimension ref="A1:Y175"/>
  <sheetViews>
    <sheetView view="pageBreakPreview" topLeftCell="A10" zoomScale="60" zoomScaleNormal="70" workbookViewId="0">
      <selection activeCell="E25" sqref="E25"/>
    </sheetView>
  </sheetViews>
  <sheetFormatPr defaultColWidth="9.28515625" defaultRowHeight="15" x14ac:dyDescent="0.25"/>
  <cols>
    <col min="1" max="1" width="20.42578125" style="9" customWidth="1"/>
    <col min="2" max="2" width="7.5703125" style="9" hidden="1" customWidth="1"/>
    <col min="3" max="3" width="85.28515625" style="9" customWidth="1"/>
    <col min="4" max="4" width="19.28515625" style="9" customWidth="1"/>
    <col min="5" max="5" width="16.7109375" style="9" customWidth="1"/>
    <col min="6" max="25" width="9.28515625" style="73"/>
    <col min="26" max="16384" width="9.28515625" style="9"/>
  </cols>
  <sheetData>
    <row r="1" spans="1:25" ht="33" customHeight="1" x14ac:dyDescent="0.25">
      <c r="A1" s="1978" t="s">
        <v>0</v>
      </c>
      <c r="B1" s="1980"/>
      <c r="C1" s="82" t="str">
        <f>'Звіт 1,2,3'!D1</f>
        <v>02006707</v>
      </c>
      <c r="D1" s="3" t="s">
        <v>1</v>
      </c>
      <c r="E1" s="71">
        <f>'Звіт 1,2,3'!H1</f>
        <v>430</v>
      </c>
    </row>
    <row r="2" spans="1:25" ht="50.1" customHeight="1" x14ac:dyDescent="0.25">
      <c r="C2" s="2710" t="s">
        <v>242</v>
      </c>
      <c r="D2" s="2710"/>
      <c r="E2" s="2710"/>
    </row>
    <row r="3" spans="1:25" ht="18.75" x14ac:dyDescent="0.3">
      <c r="A3" s="2711" t="s">
        <v>276</v>
      </c>
      <c r="B3" s="2711"/>
      <c r="C3" s="2711"/>
      <c r="D3" s="2711"/>
      <c r="E3" s="2711"/>
      <c r="F3" s="75"/>
      <c r="G3" s="75"/>
      <c r="H3" s="75"/>
    </row>
    <row r="4" spans="1:25" ht="18.75" x14ac:dyDescent="0.3">
      <c r="E4" s="32" t="s">
        <v>248</v>
      </c>
    </row>
    <row r="5" spans="1:25" ht="18.75" customHeight="1" x14ac:dyDescent="0.25">
      <c r="A5" s="2151" t="s">
        <v>6</v>
      </c>
      <c r="B5" s="2151"/>
      <c r="C5" s="2187" t="s">
        <v>7</v>
      </c>
      <c r="D5" s="2186" t="s">
        <v>86</v>
      </c>
      <c r="E5" s="2186" t="s">
        <v>8</v>
      </c>
    </row>
    <row r="6" spans="1:25" ht="18.75" customHeight="1" x14ac:dyDescent="0.25">
      <c r="A6" s="2151"/>
      <c r="B6" s="2151"/>
      <c r="C6" s="2187"/>
      <c r="D6" s="2186"/>
      <c r="E6" s="2186"/>
    </row>
    <row r="7" spans="1:25" ht="14.1" customHeight="1" x14ac:dyDescent="0.25">
      <c r="A7" s="2151"/>
      <c r="B7" s="2151"/>
      <c r="C7" s="2187"/>
      <c r="D7" s="2186"/>
      <c r="E7" s="2186"/>
    </row>
    <row r="8" spans="1:25" ht="15.75" x14ac:dyDescent="0.25">
      <c r="A8" s="115">
        <v>1</v>
      </c>
      <c r="B8" s="38"/>
      <c r="C8" s="38">
        <v>2</v>
      </c>
      <c r="D8" s="38">
        <v>3</v>
      </c>
      <c r="E8" s="38">
        <v>4</v>
      </c>
    </row>
    <row r="9" spans="1:25" ht="29.65" customHeight="1" x14ac:dyDescent="0.3">
      <c r="A9" s="116"/>
      <c r="B9" s="34"/>
      <c r="C9" s="39" t="s">
        <v>243</v>
      </c>
      <c r="D9" s="113">
        <f>SUM(D10:D50)</f>
        <v>0</v>
      </c>
      <c r="E9" s="113">
        <f>SUM(E10:E50)</f>
        <v>50956018.719999999</v>
      </c>
    </row>
    <row r="10" spans="1:25" ht="29.65" customHeight="1" x14ac:dyDescent="0.25">
      <c r="A10" s="938">
        <f>'Дод_Надходж ПМГ '!A10</f>
        <v>1</v>
      </c>
      <c r="B10" s="33"/>
      <c r="C10" s="31" t="str">
        <f>'Дод_Надходж ПМГ '!C10</f>
        <v>Первинна медична допомога</v>
      </c>
      <c r="D10" s="114">
        <v>0</v>
      </c>
      <c r="E10" s="579">
        <v>0</v>
      </c>
    </row>
    <row r="11" spans="1:25" ht="29.65" customHeight="1" x14ac:dyDescent="0.25">
      <c r="A11" s="938">
        <f>'Дод_Надходж ПМГ '!A11</f>
        <v>2</v>
      </c>
      <c r="B11" s="33"/>
      <c r="C11" s="31" t="str">
        <f>'Дод_Надходж ПМГ '!C11</f>
        <v>Екстрена медична допомога</v>
      </c>
      <c r="D11" s="114">
        <v>0</v>
      </c>
      <c r="E11" s="579">
        <v>0</v>
      </c>
    </row>
    <row r="12" spans="1:25" s="29" customFormat="1" ht="29.65" customHeight="1" x14ac:dyDescent="0.25">
      <c r="A12" s="938">
        <f>'Дод_Надходж ПМГ '!A12</f>
        <v>3</v>
      </c>
      <c r="B12" s="33"/>
      <c r="C12" s="522" t="str">
        <f>'Дод_Надходж ПМГ '!C12</f>
        <v>Хірургічні операції дорослим та дітям у стаціонарних умовах</v>
      </c>
      <c r="D12" s="114">
        <v>0</v>
      </c>
      <c r="E12" s="579">
        <v>170604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1:25" ht="33" customHeight="1" x14ac:dyDescent="0.25">
      <c r="A13" s="938">
        <f>'Дод_Надходж ПМГ '!A13</f>
        <v>4</v>
      </c>
      <c r="B13" s="33"/>
      <c r="C13" s="522" t="str">
        <f>'Дод_Надходж ПМГ '!C13</f>
        <v>Стаціонарна допомога дорослим та дітям без проведення хірургічних операцій</v>
      </c>
      <c r="D13" s="114">
        <v>0</v>
      </c>
      <c r="E13" s="579">
        <v>0</v>
      </c>
    </row>
    <row r="14" spans="1:25" ht="37.35" customHeight="1" x14ac:dyDescent="0.25">
      <c r="A14" s="938">
        <f>'Дод_Надходж ПМГ '!A14</f>
        <v>5</v>
      </c>
      <c r="B14" s="33"/>
      <c r="C14" s="522" t="str">
        <f>'Дод_Надходж ПМГ '!C14</f>
        <v>Медична допомога при гострому мозковому інсульті в стаціонарних умовах</v>
      </c>
      <c r="D14" s="114">
        <v>0</v>
      </c>
      <c r="E14" s="579">
        <v>0</v>
      </c>
    </row>
    <row r="15" spans="1:25" ht="21" customHeight="1" x14ac:dyDescent="0.25">
      <c r="A15" s="938">
        <f>'Дод_Надходж ПМГ '!A15</f>
        <v>6</v>
      </c>
      <c r="B15" s="33"/>
      <c r="C15" s="522" t="str">
        <f>'Дод_Надходж ПМГ '!C15</f>
        <v>Медична допомога при гострому інфаркті міокарда</v>
      </c>
      <c r="D15" s="114">
        <v>0</v>
      </c>
      <c r="E15" s="579">
        <v>0</v>
      </c>
    </row>
    <row r="16" spans="1:25" ht="21" customHeight="1" x14ac:dyDescent="0.25">
      <c r="A16" s="938">
        <f>'Дод_Надходж ПМГ '!A16</f>
        <v>7</v>
      </c>
      <c r="B16" s="33"/>
      <c r="C16" s="522" t="str">
        <f>'Дод_Надходж ПМГ '!C16</f>
        <v>Медична допомога при пологах</v>
      </c>
      <c r="D16" s="114">
        <v>0</v>
      </c>
      <c r="E16" s="579">
        <v>0</v>
      </c>
    </row>
    <row r="17" spans="1:5" ht="20.65" customHeight="1" x14ac:dyDescent="0.25">
      <c r="A17" s="938">
        <f>'Дод_Надходж ПМГ '!A17</f>
        <v>8</v>
      </c>
      <c r="B17" s="33"/>
      <c r="C17" s="522" t="str">
        <f>'Дод_Надходж ПМГ '!C17</f>
        <v>Медична допомога новонародженим у складних неонатальних випадках</v>
      </c>
      <c r="D17" s="114">
        <v>0</v>
      </c>
      <c r="E17" s="579">
        <v>0</v>
      </c>
    </row>
    <row r="18" spans="1:5" ht="62.1" customHeight="1" x14ac:dyDescent="0.25">
      <c r="A18" s="938">
        <f>'Дод_Надходж ПМГ '!A18</f>
        <v>9</v>
      </c>
      <c r="B18" s="33"/>
      <c r="C18" s="522" t="str">
        <f>'Дод_Надходж ПМГ '!C18</f>
        <v>Амбулаторна вторинна (спеціалізована) та третинна (високоспеціалізована) медична допомога дорослим та дітям, включаючи медичну реабілітацію та стоматологічну допомогу</v>
      </c>
      <c r="D18" s="114">
        <v>0</v>
      </c>
      <c r="E18" s="579">
        <v>460155</v>
      </c>
    </row>
    <row r="19" spans="1:5" ht="24" customHeight="1" x14ac:dyDescent="0.25">
      <c r="A19" s="938">
        <f>'Дод_Надходж ПМГ '!A19</f>
        <v>10</v>
      </c>
      <c r="B19" s="33"/>
      <c r="C19" s="522" t="str">
        <f>'Дод_Надходж ПМГ '!C19</f>
        <v xml:space="preserve">Мамографія </v>
      </c>
      <c r="D19" s="114">
        <v>0</v>
      </c>
      <c r="E19" s="579">
        <v>0</v>
      </c>
    </row>
    <row r="20" spans="1:5" ht="24" customHeight="1" x14ac:dyDescent="0.25">
      <c r="A20" s="938">
        <f>'Дод_Надходж ПМГ '!A20</f>
        <v>11</v>
      </c>
      <c r="B20" s="33"/>
      <c r="C20" s="522" t="str">
        <f>'Дод_Надходж ПМГ '!C20</f>
        <v>Гістероскопія</v>
      </c>
      <c r="D20" s="114">
        <v>0</v>
      </c>
      <c r="E20" s="579">
        <v>0</v>
      </c>
    </row>
    <row r="21" spans="1:5" ht="24" customHeight="1" x14ac:dyDescent="0.25">
      <c r="A21" s="938">
        <f>'Дод_Надходж ПМГ '!A21</f>
        <v>12</v>
      </c>
      <c r="B21" s="33"/>
      <c r="C21" s="522" t="str">
        <f>'Дод_Надходж ПМГ '!C21</f>
        <v>Езофагодуоденоскопія</v>
      </c>
      <c r="D21" s="114">
        <v>0</v>
      </c>
      <c r="E21" s="579">
        <v>0</v>
      </c>
    </row>
    <row r="22" spans="1:5" ht="24" customHeight="1" x14ac:dyDescent="0.25">
      <c r="A22" s="938">
        <f>'Дод_Надходж ПМГ '!A22</f>
        <v>13</v>
      </c>
      <c r="B22" s="33"/>
      <c r="C22" s="522" t="str">
        <f>'Дод_Надходж ПМГ '!C22</f>
        <v>Колоноскопія</v>
      </c>
      <c r="D22" s="114">
        <v>0</v>
      </c>
      <c r="E22" s="579">
        <v>0</v>
      </c>
    </row>
    <row r="23" spans="1:5" ht="24" customHeight="1" x14ac:dyDescent="0.25">
      <c r="A23" s="938">
        <f>'Дод_Надходж ПМГ '!A23</f>
        <v>14</v>
      </c>
      <c r="B23" s="33"/>
      <c r="C23" s="522" t="str">
        <f>'Дод_Надходж ПМГ '!C23</f>
        <v>Цистосокія</v>
      </c>
      <c r="D23" s="114">
        <v>0</v>
      </c>
      <c r="E23" s="579">
        <v>0</v>
      </c>
    </row>
    <row r="24" spans="1:5" ht="24" customHeight="1" x14ac:dyDescent="0.25">
      <c r="A24" s="938">
        <f>'Дод_Надходж ПМГ '!A24</f>
        <v>15</v>
      </c>
      <c r="B24" s="33"/>
      <c r="C24" s="522" t="str">
        <f>'Дод_Надходж ПМГ '!C24</f>
        <v>Бронхоскопія</v>
      </c>
      <c r="D24" s="114">
        <v>0</v>
      </c>
      <c r="E24" s="579">
        <f>134273-75805.28</f>
        <v>58467.72</v>
      </c>
    </row>
    <row r="25" spans="1:5" ht="33.6" customHeight="1" x14ac:dyDescent="0.25">
      <c r="A25" s="938">
        <f>'Дод_Надходж ПМГ '!A25</f>
        <v>16</v>
      </c>
      <c r="B25" s="33"/>
      <c r="C25" s="522" t="str">
        <f>'Дод_Надходж ПМГ '!C25</f>
        <v>Лікування пацієнтів методом екстракорпорального гемодіалізу в амбулаторних умовах</v>
      </c>
      <c r="D25" s="114">
        <v>0</v>
      </c>
      <c r="E25" s="579">
        <v>0</v>
      </c>
    </row>
    <row r="26" spans="1:5" ht="33.6" customHeight="1" x14ac:dyDescent="0.25">
      <c r="A26" s="938">
        <f>'Дод_Надходж ПМГ '!A26</f>
        <v>17</v>
      </c>
      <c r="B26" s="33"/>
      <c r="C26" s="937" t="str">
        <f>'Дод_Надходж ПМГ '!C26</f>
        <v>Діагностика та хіміотерапевтичне лікування онкологічних захворювань у дорослих та дітей</v>
      </c>
      <c r="D26" s="114">
        <v>0</v>
      </c>
      <c r="E26" s="579">
        <v>0</v>
      </c>
    </row>
    <row r="27" spans="1:5" ht="33.6" customHeight="1" x14ac:dyDescent="0.25">
      <c r="A27" s="938">
        <f>'Дод_Надходж ПМГ '!A27</f>
        <v>18</v>
      </c>
      <c r="B27" s="33"/>
      <c r="C27" s="937" t="str">
        <f>'Дод_Надходж ПМГ '!C27</f>
        <v>Діагностика та радіологічне лікування онкологічних захворювань у дорослих та дітей</v>
      </c>
      <c r="D27" s="114">
        <v>0</v>
      </c>
      <c r="E27" s="579">
        <v>0</v>
      </c>
    </row>
    <row r="28" spans="1:5" ht="26.65" customHeight="1" x14ac:dyDescent="0.25">
      <c r="A28" s="938">
        <f>'Дод_Надходж ПМГ '!A28</f>
        <v>19</v>
      </c>
      <c r="B28" s="33"/>
      <c r="C28" s="937" t="str">
        <f>'Дод_Надходж ПМГ '!C28</f>
        <v>Психіатрична допомога дорослим та дітям</v>
      </c>
      <c r="D28" s="114">
        <v>0</v>
      </c>
      <c r="E28" s="579">
        <v>0</v>
      </c>
    </row>
    <row r="29" spans="1:5" ht="26.65" customHeight="1" x14ac:dyDescent="0.25">
      <c r="A29" s="938">
        <f>'Дод_Надходж ПМГ '!A29</f>
        <v>20</v>
      </c>
      <c r="B29" s="33"/>
      <c r="C29" s="937" t="str">
        <f>'Дод_Надходж ПМГ '!C29</f>
        <v>Лікування дорослих та дітей із туберкульозом</v>
      </c>
      <c r="D29" s="114">
        <v>0</v>
      </c>
      <c r="E29" s="579">
        <v>36755553</v>
      </c>
    </row>
    <row r="30" spans="1:5" ht="26.65" customHeight="1" x14ac:dyDescent="0.25">
      <c r="A30" s="938">
        <f>'Дод_Надходж ПМГ '!A30</f>
        <v>21</v>
      </c>
      <c r="B30" s="33"/>
      <c r="C30" s="937" t="str">
        <f>'Дод_Надходж ПМГ '!C30</f>
        <v>Діагностика, лікування та супровід осіб із ВІЛ</v>
      </c>
      <c r="D30" s="114">
        <v>0</v>
      </c>
      <c r="E30" s="579">
        <v>89602</v>
      </c>
    </row>
    <row r="31" spans="1:5" ht="55.9" customHeight="1" x14ac:dyDescent="0.25">
      <c r="A31" s="938">
        <f>'Дод_Надходж ПМГ '!A31</f>
        <v>22</v>
      </c>
      <c r="B31" s="33"/>
      <c r="C31" s="937" t="str">
        <f>'Дод_Надходж ПМГ '!C31</f>
        <v>Лікування осіб із психічними та поведінковими розладами внаслідок вживання опіоїдів із використанням препаратів замісної підтримувальної терапії</v>
      </c>
      <c r="D31" s="114">
        <v>0</v>
      </c>
      <c r="E31" s="579">
        <v>17362</v>
      </c>
    </row>
    <row r="32" spans="1:5" ht="26.1" customHeight="1" x14ac:dyDescent="0.25">
      <c r="A32" s="938">
        <f>'Дод_Надходж ПМГ '!A32</f>
        <v>23</v>
      </c>
      <c r="B32" s="33"/>
      <c r="C32" s="937" t="str">
        <f>'Дод_Надходж ПМГ '!C32</f>
        <v>Стаціонарна паліативна медична допомога дорослим та дітям</v>
      </c>
      <c r="D32" s="114">
        <v>0</v>
      </c>
      <c r="E32" s="579">
        <v>157548</v>
      </c>
    </row>
    <row r="33" spans="1:12" ht="26.1" customHeight="1" x14ac:dyDescent="0.25">
      <c r="A33" s="938">
        <f>'Дод_Надходж ПМГ '!A33</f>
        <v>24</v>
      </c>
      <c r="B33" s="33"/>
      <c r="C33" s="937" t="str">
        <f>'Дод_Надходж ПМГ '!C33</f>
        <v>Мобільна паліативна медична допомога дорослим і дітям</v>
      </c>
      <c r="D33" s="114">
        <v>0</v>
      </c>
      <c r="E33" s="579">
        <v>253188</v>
      </c>
    </row>
    <row r="34" spans="1:12" ht="41.65" customHeight="1" x14ac:dyDescent="0.25">
      <c r="A34" s="938">
        <f>'Дод_Надходж ПМГ '!A34</f>
        <v>25</v>
      </c>
      <c r="B34" s="33"/>
      <c r="C34" s="937" t="str">
        <f>'Дод_Надходж ПМГ '!C34</f>
        <v>Медична реабілітація немовлят, які народилися передчасно та/або хворими, протягом перших трьох років життя</v>
      </c>
      <c r="D34" s="114">
        <v>0</v>
      </c>
      <c r="E34" s="579">
        <v>0</v>
      </c>
    </row>
    <row r="35" spans="1:12" ht="33.6" customHeight="1" x14ac:dyDescent="0.25">
      <c r="A35" s="938">
        <f>'Дод_Надходж ПМГ '!A35</f>
        <v>26</v>
      </c>
      <c r="B35" s="33"/>
      <c r="C35" s="937" t="str">
        <f>'Дод_Надходж ПМГ '!C35</f>
        <v>Медична реабілітація дорослих та дітей від трьох років з ураженням опорно-рухового апарату</v>
      </c>
      <c r="D35" s="114">
        <v>0</v>
      </c>
      <c r="E35" s="579">
        <v>0</v>
      </c>
    </row>
    <row r="36" spans="1:12" ht="40.35" customHeight="1" x14ac:dyDescent="0.25">
      <c r="A36" s="938">
        <f>'Дод_Надходж ПМГ '!A36</f>
        <v>27</v>
      </c>
      <c r="B36" s="33"/>
      <c r="C36" s="937" t="str">
        <f>'Дод_Надходж ПМГ '!C36</f>
        <v>Медична реабілітація дорослих та дітей від трьох років з ураженням нервової системи</v>
      </c>
      <c r="D36" s="114">
        <v>0</v>
      </c>
      <c r="E36" s="579">
        <v>0</v>
      </c>
    </row>
    <row r="37" spans="1:12" ht="63" customHeight="1" x14ac:dyDescent="0.25">
      <c r="A37" s="938">
        <f>'Дод_Надходж ПМГ '!A37</f>
        <v>28</v>
      </c>
      <c r="B37" s="33"/>
      <c r="C37" s="916" t="str">
        <f>'Дод_Надходж ПМГ '!C37</f>
        <v>Екстрена медична допомога пацієнтам з підозрою або встановленим захворюванням на гостру респіраторну хворобу COVID-19, спричинену коронавірусом SARS-CoV-2</v>
      </c>
      <c r="D37" s="122">
        <v>0</v>
      </c>
      <c r="E37" s="579">
        <v>0</v>
      </c>
    </row>
    <row r="38" spans="1:12" s="73" customFormat="1" ht="63" customHeight="1" x14ac:dyDescent="0.25">
      <c r="A38" s="938">
        <f>'Дод_Надходж ПМГ '!A38</f>
        <v>29</v>
      </c>
      <c r="B38" s="33"/>
      <c r="C38" s="916" t="str">
        <f>'Дод_Надходж ПМГ '!C38</f>
        <v>Медична допомога, яка надається мобільними медичними бригадами, що утворені для реагування на гостру респіраторну хворобу COVID-19, спричинену коронавірусом SARS-CoV-2</v>
      </c>
      <c r="D38" s="122">
        <v>0</v>
      </c>
      <c r="E38" s="579">
        <v>0</v>
      </c>
    </row>
    <row r="39" spans="1:12" s="73" customFormat="1" ht="63" customHeight="1" x14ac:dyDescent="0.25">
      <c r="A39" s="938">
        <f>'Дод_Надходж ПМГ '!A39</f>
        <v>30</v>
      </c>
      <c r="B39" s="33"/>
      <c r="C39" s="916" t="str">
        <f>'Дод_Надходж ПМГ '!C39</f>
        <v>Стаціонарна медична допомога пацієнтам з гострою респіраторною хворобою COVID-19, спричиненою коронавірусом SARS-CoV-2, яка надається окремими закладами охорони здоров’я протягом квітня 2020 року</v>
      </c>
      <c r="D39" s="122">
        <v>0</v>
      </c>
      <c r="E39" s="579">
        <v>0</v>
      </c>
    </row>
    <row r="40" spans="1:12" s="73" customFormat="1" ht="52.9" customHeight="1" x14ac:dyDescent="0.25">
      <c r="A40" s="938">
        <f>'Дод_Надходж ПМГ '!A40</f>
        <v>31</v>
      </c>
      <c r="B40" s="33"/>
      <c r="C40" s="937" t="str">
        <f>'Дод_Надходж ПМГ '!C40</f>
        <v>Стаціонарна допомога пацієнтам з гострою респіраторною хворобою COVID-19, спричиненою коронавірусом SARS-CoV-2</v>
      </c>
      <c r="D40" s="122">
        <v>0</v>
      </c>
      <c r="E40" s="579">
        <v>0</v>
      </c>
    </row>
    <row r="41" spans="1:12" s="73" customFormat="1" ht="51.6" customHeight="1" x14ac:dyDescent="0.25">
      <c r="A41" s="938">
        <f>'Дод_Надходж ПМГ '!A41</f>
        <v>32</v>
      </c>
      <c r="B41" s="33"/>
      <c r="C41" s="916" t="str">
        <f>'Дод_Надходж ПМГ '!C41</f>
        <v>Перехідне фінансове забезпечення комплексного надання медичних послуг закладами охорони здоров’я</v>
      </c>
      <c r="D41" s="122">
        <v>0</v>
      </c>
      <c r="E41" s="579">
        <v>0</v>
      </c>
    </row>
    <row r="42" spans="1:12" s="73" customFormat="1" ht="37.5" x14ac:dyDescent="0.25">
      <c r="A42" s="938">
        <f>'Дод_Надходж ПМГ '!A42</f>
        <v>33</v>
      </c>
      <c r="B42" s="33"/>
      <c r="C42" s="937" t="str">
        <f>'Дод_Надходж ПМГ '!C42</f>
        <v>Перехідне фінансове забезпечення комплексного надання медичних послуг в частині умов, які застосовуються з 1 вересня 2020 року</v>
      </c>
      <c r="D42" s="122">
        <v>0</v>
      </c>
      <c r="E42" s="579">
        <v>12993539</v>
      </c>
      <c r="F42" s="2709"/>
      <c r="G42" s="2709"/>
      <c r="H42" s="2709"/>
      <c r="I42" s="2709"/>
      <c r="J42" s="2709"/>
      <c r="K42" s="2709"/>
      <c r="L42" s="2709"/>
    </row>
    <row r="43" spans="1:12" s="73" customFormat="1" ht="18.75" x14ac:dyDescent="0.25">
      <c r="A43" s="938">
        <f>'Дод_Надходж ПМГ '!A43</f>
        <v>34</v>
      </c>
      <c r="B43" s="33"/>
      <c r="C43" s="937" t="str">
        <f>'Дод_Надходж ПМГ '!C43</f>
        <v>Стоматологічна допомога дорослим та дітям</v>
      </c>
      <c r="D43" s="122">
        <v>0</v>
      </c>
      <c r="E43" s="579">
        <v>0</v>
      </c>
    </row>
    <row r="44" spans="1:12" s="73" customFormat="1" ht="18.75" x14ac:dyDescent="0.25">
      <c r="A44" s="938">
        <f>'Дод_Надходж ПМГ '!A44</f>
        <v>35</v>
      </c>
      <c r="B44" s="33"/>
      <c r="C44" s="937" t="str">
        <f>'Дод_Надходж ПМГ '!C44</f>
        <v>Ведення вагітності в амбулаторних умовах</v>
      </c>
      <c r="D44" s="122">
        <v>0</v>
      </c>
      <c r="E44" s="579">
        <v>0</v>
      </c>
    </row>
    <row r="45" spans="1:12" s="73" customFormat="1" ht="37.5" x14ac:dyDescent="0.25">
      <c r="A45" s="938">
        <f>'Дод_Надходж ПМГ '!A45</f>
        <v>36</v>
      </c>
      <c r="B45" s="33"/>
      <c r="C45" s="937" t="str">
        <f>'Дод_Надходж ПМГ '!C45</f>
        <v>Вакцинація від гострої респіраторної хвороби COVID-19, спричиненої короновірусом SARS-CoV-2</v>
      </c>
      <c r="D45" s="122">
        <v>0</v>
      </c>
      <c r="E45" s="579">
        <v>0</v>
      </c>
    </row>
    <row r="46" spans="1:12" s="73" customFormat="1" ht="56.25" x14ac:dyDescent="0.25">
      <c r="A46" s="938">
        <f>'Дод_Надходж ПМГ '!A46</f>
        <v>37</v>
      </c>
      <c r="B46" s="33"/>
      <c r="C46" s="937" t="str">
        <f>'Дод_Надходж ПМГ '!C46</f>
        <v xml:space="preserve">Лікування та супровід пацієнтів з гематологічними та онкогематологічними захворюваннями у дорослих та дітей в амбулаторних та стаціонарних умовах </v>
      </c>
      <c r="D46" s="122">
        <v>0</v>
      </c>
      <c r="E46" s="579">
        <v>0</v>
      </c>
    </row>
    <row r="47" spans="1:12" s="73" customFormat="1" ht="37.5" x14ac:dyDescent="0.25">
      <c r="A47" s="938">
        <f>'Дод_Надходж ПМГ '!A47</f>
        <v>38</v>
      </c>
      <c r="B47" s="33"/>
      <c r="C47" s="937" t="str">
        <f>'Дод_Надходж ПМГ '!C47</f>
        <v xml:space="preserve">Супровід та лікування дорослих та дітей, хворих на туберкульоз, на первинному рівні медичної допомоги </v>
      </c>
      <c r="D47" s="122">
        <v>0</v>
      </c>
      <c r="E47" s="579">
        <v>0</v>
      </c>
    </row>
    <row r="48" spans="1:12" s="73" customFormat="1" ht="37.5" x14ac:dyDescent="0.25">
      <c r="A48" s="938">
        <f>'Дод_Надходж ПМГ '!A48</f>
        <v>39</v>
      </c>
      <c r="B48" s="33"/>
      <c r="C48" s="937" t="str">
        <f>'Дод_Надходж ПМГ '!C48</f>
        <v xml:space="preserve">Лікування пацієнтів методом перитонеального діалізу в амбулаторних умовах  </v>
      </c>
      <c r="D48" s="122">
        <v>0</v>
      </c>
      <c r="E48" s="579">
        <v>0</v>
      </c>
    </row>
    <row r="49" spans="1:5" s="73" customFormat="1" ht="37.5" x14ac:dyDescent="0.25">
      <c r="A49" s="938">
        <f>'Дод_Надходж ПМГ '!A49</f>
        <v>40</v>
      </c>
      <c r="B49" s="33"/>
      <c r="C49" s="937" t="str">
        <f>'Дод_Надходж ПМГ '!C49</f>
        <v xml:space="preserve">Психіатрична допомога, яка надається мобільними мультидисциплінарними командами з охорони психічного здоров’я </v>
      </c>
      <c r="D49" s="122">
        <v>0</v>
      </c>
      <c r="E49" s="579">
        <v>0</v>
      </c>
    </row>
    <row r="50" spans="1:5" s="73" customFormat="1" ht="18.75" x14ac:dyDescent="0.25">
      <c r="A50" s="938">
        <f>'Дод_Надходж ПМГ '!A50</f>
        <v>41</v>
      </c>
      <c r="B50" s="33"/>
      <c r="C50" s="937" t="str">
        <f>'Дод_Надходж ПМГ '!C50</f>
        <v xml:space="preserve">Готовність до реагування на інфекційні захворювання та епідемії </v>
      </c>
      <c r="D50" s="122">
        <v>0</v>
      </c>
      <c r="E50" s="579">
        <v>0</v>
      </c>
    </row>
    <row r="51" spans="1:5" s="73" customFormat="1" x14ac:dyDescent="0.25"/>
    <row r="52" spans="1:5" s="73" customFormat="1" x14ac:dyDescent="0.25"/>
    <row r="53" spans="1:5" s="73" customFormat="1" x14ac:dyDescent="0.25"/>
    <row r="54" spans="1:5" s="73" customFormat="1" x14ac:dyDescent="0.25"/>
    <row r="55" spans="1:5" s="73" customFormat="1" x14ac:dyDescent="0.25"/>
    <row r="56" spans="1:5" s="73" customFormat="1" x14ac:dyDescent="0.25"/>
    <row r="57" spans="1:5" s="73" customFormat="1" x14ac:dyDescent="0.25"/>
    <row r="58" spans="1:5" s="73" customFormat="1" x14ac:dyDescent="0.25"/>
    <row r="59" spans="1:5" s="73" customFormat="1" x14ac:dyDescent="0.25"/>
    <row r="60" spans="1:5" s="73" customFormat="1" x14ac:dyDescent="0.25"/>
    <row r="61" spans="1:5" s="73" customFormat="1" x14ac:dyDescent="0.25"/>
    <row r="62" spans="1:5" s="73" customFormat="1" x14ac:dyDescent="0.25"/>
    <row r="63" spans="1:5" s="73" customFormat="1" x14ac:dyDescent="0.25"/>
    <row r="64" spans="1:5" s="73" customFormat="1" x14ac:dyDescent="0.25"/>
    <row r="65" s="73" customFormat="1" x14ac:dyDescent="0.25"/>
    <row r="66" s="73" customFormat="1" x14ac:dyDescent="0.25"/>
    <row r="67" s="73" customFormat="1" x14ac:dyDescent="0.25"/>
    <row r="68" s="73" customFormat="1" x14ac:dyDescent="0.25"/>
    <row r="69" s="73" customFormat="1" x14ac:dyDescent="0.25"/>
    <row r="70" s="73" customFormat="1" x14ac:dyDescent="0.25"/>
    <row r="71" s="73" customFormat="1" x14ac:dyDescent="0.25"/>
    <row r="72" s="73" customFormat="1" x14ac:dyDescent="0.25"/>
    <row r="73" s="73" customFormat="1" x14ac:dyDescent="0.25"/>
    <row r="74" s="73" customFormat="1" x14ac:dyDescent="0.25"/>
    <row r="75" s="73" customFormat="1" x14ac:dyDescent="0.25"/>
    <row r="76" s="73" customFormat="1" x14ac:dyDescent="0.25"/>
    <row r="77" s="73" customFormat="1" x14ac:dyDescent="0.25"/>
    <row r="78" s="73" customFormat="1" x14ac:dyDescent="0.25"/>
    <row r="79" s="73" customFormat="1" x14ac:dyDescent="0.25"/>
    <row r="80" s="73" customFormat="1" x14ac:dyDescent="0.25"/>
    <row r="81" s="73" customFormat="1" x14ac:dyDescent="0.25"/>
    <row r="82" s="73" customFormat="1" x14ac:dyDescent="0.25"/>
    <row r="83" s="73" customFormat="1" x14ac:dyDescent="0.25"/>
    <row r="84" s="73" customFormat="1" x14ac:dyDescent="0.25"/>
    <row r="85" s="73" customFormat="1" x14ac:dyDescent="0.25"/>
    <row r="86" s="73" customFormat="1" x14ac:dyDescent="0.25"/>
    <row r="87" s="73" customFormat="1" x14ac:dyDescent="0.25"/>
    <row r="88" s="73" customFormat="1" x14ac:dyDescent="0.25"/>
    <row r="89" s="73" customFormat="1" x14ac:dyDescent="0.25"/>
    <row r="90" s="73" customFormat="1" x14ac:dyDescent="0.25"/>
    <row r="91" s="73" customFormat="1" x14ac:dyDescent="0.25"/>
    <row r="92" s="73" customFormat="1" x14ac:dyDescent="0.25"/>
    <row r="93" s="73" customFormat="1" x14ac:dyDescent="0.25"/>
    <row r="94" s="73" customFormat="1" x14ac:dyDescent="0.25"/>
    <row r="95" s="73" customFormat="1" x14ac:dyDescent="0.25"/>
    <row r="96" s="73" customFormat="1" x14ac:dyDescent="0.25"/>
    <row r="97" s="73" customFormat="1" x14ac:dyDescent="0.25"/>
    <row r="98" s="73" customFormat="1" x14ac:dyDescent="0.25"/>
    <row r="99" s="73" customFormat="1" x14ac:dyDescent="0.25"/>
    <row r="100" s="73" customFormat="1" x14ac:dyDescent="0.25"/>
    <row r="101" s="73" customFormat="1" x14ac:dyDescent="0.25"/>
    <row r="102" s="73" customFormat="1" x14ac:dyDescent="0.25"/>
    <row r="103" s="73" customFormat="1" x14ac:dyDescent="0.25"/>
    <row r="104" s="73" customFormat="1" x14ac:dyDescent="0.25"/>
    <row r="105" s="73" customFormat="1" x14ac:dyDescent="0.25"/>
    <row r="106" s="73" customFormat="1" x14ac:dyDescent="0.25"/>
    <row r="107" s="73" customFormat="1" x14ac:dyDescent="0.25"/>
    <row r="108" s="73" customFormat="1" x14ac:dyDescent="0.25"/>
    <row r="109" s="73" customFormat="1" x14ac:dyDescent="0.25"/>
    <row r="110" s="73" customFormat="1" x14ac:dyDescent="0.25"/>
    <row r="111" s="73" customFormat="1" x14ac:dyDescent="0.25"/>
    <row r="112" s="73" customFormat="1" x14ac:dyDescent="0.25"/>
    <row r="113" s="73" customFormat="1" x14ac:dyDescent="0.25"/>
    <row r="114" s="73" customFormat="1" x14ac:dyDescent="0.25"/>
    <row r="115" s="73" customFormat="1" x14ac:dyDescent="0.25"/>
    <row r="116" s="73" customFormat="1" x14ac:dyDescent="0.25"/>
    <row r="117" s="73" customFormat="1" x14ac:dyDescent="0.25"/>
    <row r="118" s="73" customFormat="1" x14ac:dyDescent="0.25"/>
    <row r="119" s="73" customFormat="1" x14ac:dyDescent="0.25"/>
    <row r="120" s="73" customFormat="1" x14ac:dyDescent="0.25"/>
    <row r="121" s="73" customFormat="1" x14ac:dyDescent="0.25"/>
    <row r="122" s="73" customFormat="1" x14ac:dyDescent="0.25"/>
    <row r="123" s="73" customFormat="1" x14ac:dyDescent="0.25"/>
    <row r="124" s="73" customFormat="1" x14ac:dyDescent="0.25"/>
    <row r="125" s="73" customFormat="1" x14ac:dyDescent="0.25"/>
    <row r="126" s="73" customFormat="1" x14ac:dyDescent="0.25"/>
    <row r="127" s="73" customFormat="1" x14ac:dyDescent="0.25"/>
    <row r="128" s="73" customFormat="1" x14ac:dyDescent="0.25"/>
    <row r="129" s="73" customFormat="1" x14ac:dyDescent="0.25"/>
    <row r="130" s="73" customFormat="1" x14ac:dyDescent="0.25"/>
    <row r="131" s="73" customFormat="1" x14ac:dyDescent="0.25"/>
    <row r="132" s="73" customFormat="1" x14ac:dyDescent="0.25"/>
    <row r="133" s="73" customFormat="1" x14ac:dyDescent="0.25"/>
    <row r="134" s="73" customFormat="1" x14ac:dyDescent="0.25"/>
    <row r="135" s="73" customFormat="1" x14ac:dyDescent="0.25"/>
    <row r="136" s="73" customFormat="1" x14ac:dyDescent="0.25"/>
    <row r="137" s="73" customFormat="1" x14ac:dyDescent="0.25"/>
    <row r="138" s="73" customFormat="1" x14ac:dyDescent="0.25"/>
    <row r="139" s="73" customFormat="1" x14ac:dyDescent="0.25"/>
    <row r="140" s="73" customFormat="1" x14ac:dyDescent="0.25"/>
    <row r="141" s="73" customFormat="1" x14ac:dyDescent="0.25"/>
    <row r="142" s="73" customFormat="1" x14ac:dyDescent="0.25"/>
    <row r="143" s="73" customFormat="1" x14ac:dyDescent="0.25"/>
    <row r="144" s="73" customFormat="1" x14ac:dyDescent="0.25"/>
    <row r="145" s="73" customFormat="1" x14ac:dyDescent="0.25"/>
    <row r="146" s="73" customFormat="1" x14ac:dyDescent="0.25"/>
    <row r="147" s="73" customFormat="1" x14ac:dyDescent="0.25"/>
    <row r="148" s="73" customFormat="1" x14ac:dyDescent="0.25"/>
    <row r="149" s="73" customFormat="1" x14ac:dyDescent="0.25"/>
    <row r="150" s="73" customFormat="1" x14ac:dyDescent="0.25"/>
    <row r="151" s="73" customFormat="1" x14ac:dyDescent="0.25"/>
    <row r="152" s="73" customFormat="1" x14ac:dyDescent="0.25"/>
    <row r="153" s="73" customFormat="1" x14ac:dyDescent="0.25"/>
    <row r="154" s="73" customFormat="1" x14ac:dyDescent="0.25"/>
    <row r="155" s="73" customFormat="1" x14ac:dyDescent="0.25"/>
    <row r="156" s="73" customFormat="1" x14ac:dyDescent="0.25"/>
    <row r="157" s="73" customFormat="1" x14ac:dyDescent="0.25"/>
    <row r="158" s="73" customFormat="1" x14ac:dyDescent="0.25"/>
    <row r="159" s="73" customFormat="1" x14ac:dyDescent="0.25"/>
    <row r="160" s="73" customFormat="1" x14ac:dyDescent="0.25"/>
    <row r="161" s="73" customFormat="1" x14ac:dyDescent="0.25"/>
    <row r="162" s="73" customFormat="1" x14ac:dyDescent="0.25"/>
    <row r="163" s="73" customFormat="1" x14ac:dyDescent="0.25"/>
    <row r="164" s="73" customFormat="1" x14ac:dyDescent="0.25"/>
    <row r="165" s="73" customFormat="1" x14ac:dyDescent="0.25"/>
    <row r="166" s="73" customFormat="1" x14ac:dyDescent="0.25"/>
    <row r="167" s="73" customFormat="1" x14ac:dyDescent="0.25"/>
    <row r="168" s="73" customFormat="1" x14ac:dyDescent="0.25"/>
    <row r="169" s="73" customFormat="1" x14ac:dyDescent="0.25"/>
    <row r="170" s="73" customFormat="1" x14ac:dyDescent="0.25"/>
    <row r="171" s="73" customFormat="1" x14ac:dyDescent="0.25"/>
    <row r="172" s="73" customFormat="1" x14ac:dyDescent="0.25"/>
    <row r="173" s="73" customFormat="1" x14ac:dyDescent="0.25"/>
    <row r="174" s="73" customFormat="1" x14ac:dyDescent="0.25"/>
    <row r="175" s="73" customFormat="1" x14ac:dyDescent="0.25"/>
  </sheetData>
  <sheetProtection password="F86B" sheet="1" formatCells="0" formatColumns="0" formatRows="0"/>
  <mergeCells count="9">
    <mergeCell ref="F42:L42"/>
    <mergeCell ref="A1:B1"/>
    <mergeCell ref="C2:E2"/>
    <mergeCell ref="A3:E3"/>
    <mergeCell ref="A5:A7"/>
    <mergeCell ref="E5:E7"/>
    <mergeCell ref="B5:B7"/>
    <mergeCell ref="C5:C7"/>
    <mergeCell ref="D5:D7"/>
  </mergeCells>
  <dataValidations count="1">
    <dataValidation type="decimal" operator="greaterThanOrEqual" showInputMessage="1" showErrorMessage="1" error="Будь ласка, вкажіть додатнє число." sqref="D9:E50">
      <formula1>0</formula1>
    </dataValidation>
  </dataValidations>
  <printOptions horizontalCentered="1"/>
  <pageMargins left="0.31496062992125984" right="0.11811023622047245" top="0.15748031496062992" bottom="0.15748031496062992" header="0.31496062992125984" footer="0.31496062992125984"/>
  <pageSetup paperSize="9" scale="67" orientation="portrait" verticalDpi="300" r:id="rId1"/>
  <colBreaks count="1" manualBreakCount="1">
    <brk id="5" max="4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9">
    <tabColor rgb="FFFFFF00"/>
  </sheetPr>
  <dimension ref="A1:S90"/>
  <sheetViews>
    <sheetView topLeftCell="A43" workbookViewId="0">
      <selection activeCell="F52" sqref="F52"/>
    </sheetView>
  </sheetViews>
  <sheetFormatPr defaultRowHeight="15" x14ac:dyDescent="0.25"/>
  <cols>
    <col min="1" max="1" width="9.7109375" customWidth="1"/>
    <col min="2" max="2" width="11.7109375" customWidth="1"/>
    <col min="3" max="3" width="19.7109375" customWidth="1"/>
    <col min="4" max="4" width="18.42578125" customWidth="1"/>
    <col min="5" max="5" width="15.42578125" customWidth="1"/>
    <col min="6" max="7" width="17.7109375" customWidth="1"/>
    <col min="8" max="8" width="17.42578125" customWidth="1"/>
    <col min="9" max="9" width="13" customWidth="1"/>
    <col min="10" max="10" width="16.5703125" customWidth="1"/>
    <col min="11" max="11" width="12.7109375" customWidth="1"/>
    <col min="12" max="12" width="11.28515625" customWidth="1"/>
    <col min="13" max="13" width="11.7109375" customWidth="1"/>
    <col min="14" max="14" width="10.7109375" customWidth="1"/>
    <col min="15" max="15" width="11.28515625" customWidth="1"/>
    <col min="16" max="16" width="12" customWidth="1"/>
  </cols>
  <sheetData>
    <row r="1" spans="1:19" x14ac:dyDescent="0.25">
      <c r="A1" s="2767" t="s">
        <v>1220</v>
      </c>
      <c r="B1" s="2767"/>
      <c r="C1" s="2767"/>
      <c r="D1" s="2767"/>
      <c r="E1" s="2767"/>
      <c r="F1" s="2767"/>
      <c r="G1" s="2767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</row>
    <row r="2" spans="1:19" x14ac:dyDescent="0.25">
      <c r="A2" s="881"/>
      <c r="B2" s="882"/>
      <c r="C2" s="882"/>
      <c r="D2" s="882"/>
      <c r="E2" s="882"/>
      <c r="F2" s="883"/>
      <c r="G2" s="883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</row>
    <row r="3" spans="1:19" ht="15.75" thickBot="1" x14ac:dyDescent="0.3">
      <c r="A3" s="2768" t="s">
        <v>1001</v>
      </c>
      <c r="B3" s="2768"/>
      <c r="C3" s="2768"/>
      <c r="D3" s="2768"/>
      <c r="E3" s="2768"/>
      <c r="F3" s="2768"/>
      <c r="G3" s="2768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</row>
    <row r="4" spans="1:19" ht="14.65" customHeight="1" thickBot="1" x14ac:dyDescent="0.3">
      <c r="A4" s="2769"/>
      <c r="B4" s="2771" t="s">
        <v>247</v>
      </c>
      <c r="C4" s="2773" t="s">
        <v>410</v>
      </c>
      <c r="D4" s="2774"/>
      <c r="E4" s="2774"/>
      <c r="F4" s="2774"/>
      <c r="G4" s="2774"/>
      <c r="H4" s="2774"/>
      <c r="I4" s="2775"/>
      <c r="J4" s="1056"/>
      <c r="K4" s="1056"/>
      <c r="L4" s="1056"/>
      <c r="M4" s="1056"/>
      <c r="N4" s="1056"/>
      <c r="O4" s="1056"/>
      <c r="P4" s="1056"/>
      <c r="Q4" s="1056"/>
      <c r="R4" s="1056"/>
      <c r="S4" s="1056"/>
    </row>
    <row r="5" spans="1:19" s="223" customFormat="1" ht="72" customHeight="1" x14ac:dyDescent="0.25">
      <c r="A5" s="2770"/>
      <c r="B5" s="2772"/>
      <c r="C5" s="1007" t="s">
        <v>1002</v>
      </c>
      <c r="D5" s="1007" t="s">
        <v>1003</v>
      </c>
      <c r="E5" s="1007" t="s">
        <v>1385</v>
      </c>
      <c r="F5" s="1007" t="s">
        <v>1004</v>
      </c>
      <c r="G5" s="1008" t="s">
        <v>1005</v>
      </c>
      <c r="H5" s="1008" t="s">
        <v>1006</v>
      </c>
      <c r="I5" s="1009" t="s">
        <v>1386</v>
      </c>
      <c r="J5" s="1057"/>
      <c r="K5" s="1057"/>
      <c r="L5" s="1057"/>
      <c r="M5" s="1057"/>
      <c r="N5" s="1057"/>
      <c r="O5" s="1057"/>
      <c r="P5" s="1057"/>
      <c r="Q5" s="1057"/>
      <c r="R5" s="1057"/>
      <c r="S5" s="1057"/>
    </row>
    <row r="6" spans="1:19" x14ac:dyDescent="0.25">
      <c r="A6" s="886" t="s">
        <v>320</v>
      </c>
      <c r="B6" s="887">
        <f>C6+D6+F6+G6+H6+I6</f>
        <v>71827.100000000006</v>
      </c>
      <c r="C6" s="887">
        <f>'Звіт 1,2,3'!H19/1000</f>
        <v>50956</v>
      </c>
      <c r="D6" s="887">
        <f>('Звіт 1,2,3'!I56+'Звіт 1,2,3'!I57)/1000</f>
        <v>0</v>
      </c>
      <c r="E6" s="887">
        <f>('Звіт 1,2,3'!L59+'Звіт 1,2,3'!M59)/1000</f>
        <v>0</v>
      </c>
      <c r="F6" s="887">
        <f>('Звіт 1,2,3'!S19-'Звіт 1,2,3'!I56-'Звіт 1,2,3'!I57-'Звіт 1,2,3'!L59-'Звіт 1,2,3'!M59)/1000</f>
        <v>21.2</v>
      </c>
      <c r="G6" s="887">
        <f>('Звіт 1,2,3'!I19+'Звіт 1,2,3'!J19)/1000</f>
        <v>11614.5</v>
      </c>
      <c r="H6" s="887">
        <f>('Звіт 1,2,3'!K19+'Звіт 1,2,3'!L19)/1000</f>
        <v>5331.3</v>
      </c>
      <c r="I6" s="888">
        <f>('Звіт 1,2,3'!M19+'Звіт 1,2,3'!P19)/1000</f>
        <v>3904.1</v>
      </c>
      <c r="J6" s="1056"/>
      <c r="K6" s="1056"/>
      <c r="L6" s="1056"/>
      <c r="M6" s="1056"/>
      <c r="N6" s="1056"/>
      <c r="O6" s="1056"/>
      <c r="P6" s="1056"/>
      <c r="Q6" s="1056"/>
      <c r="R6" s="1056"/>
      <c r="S6" s="1056"/>
    </row>
    <row r="7" spans="1:19" ht="15.75" thickBot="1" x14ac:dyDescent="0.3">
      <c r="A7" s="889" t="s">
        <v>1007</v>
      </c>
      <c r="B7" s="890">
        <f t="shared" ref="B7:I7" si="0">B6*100/$B$6</f>
        <v>100</v>
      </c>
      <c r="C7" s="890">
        <f t="shared" si="0"/>
        <v>70.900000000000006</v>
      </c>
      <c r="D7" s="890">
        <f t="shared" si="0"/>
        <v>0</v>
      </c>
      <c r="E7" s="890">
        <f t="shared" si="0"/>
        <v>0</v>
      </c>
      <c r="F7" s="890">
        <f t="shared" si="0"/>
        <v>0</v>
      </c>
      <c r="G7" s="890">
        <f t="shared" si="0"/>
        <v>16.2</v>
      </c>
      <c r="H7" s="890">
        <f t="shared" si="0"/>
        <v>7.4</v>
      </c>
      <c r="I7" s="896">
        <f t="shared" si="0"/>
        <v>5.4</v>
      </c>
      <c r="J7" s="1056"/>
      <c r="K7" s="1056"/>
      <c r="L7" s="1056"/>
      <c r="M7" s="1056"/>
      <c r="N7" s="1056"/>
      <c r="O7" s="1056"/>
      <c r="P7" s="1056"/>
      <c r="Q7" s="1056"/>
      <c r="R7" s="1056"/>
      <c r="S7" s="1056"/>
    </row>
    <row r="8" spans="1:19" x14ac:dyDescent="0.25">
      <c r="A8" s="933"/>
      <c r="B8" s="883"/>
      <c r="C8" s="883"/>
      <c r="D8" s="883"/>
      <c r="E8" s="883"/>
      <c r="F8" s="883"/>
      <c r="G8" s="883"/>
      <c r="H8" s="883"/>
      <c r="I8" s="1056"/>
      <c r="J8" s="1056"/>
      <c r="K8" s="1056"/>
      <c r="L8" s="1056"/>
      <c r="M8" s="1056"/>
      <c r="N8" s="1056"/>
      <c r="O8" s="1056"/>
      <c r="P8" s="1056"/>
      <c r="Q8" s="1056"/>
      <c r="R8" s="1056"/>
      <c r="S8" s="1056"/>
    </row>
    <row r="9" spans="1:19" x14ac:dyDescent="0.25">
      <c r="A9" s="891" t="s">
        <v>1219</v>
      </c>
      <c r="B9" s="884"/>
      <c r="C9" s="892"/>
      <c r="D9" s="892"/>
      <c r="E9" s="892"/>
      <c r="F9" s="893"/>
      <c r="G9" s="894"/>
      <c r="H9" s="1056"/>
      <c r="I9" s="1056"/>
      <c r="J9" s="1056"/>
      <c r="K9" s="1056"/>
      <c r="L9" s="1056"/>
      <c r="M9" s="1056"/>
      <c r="N9" s="1056"/>
      <c r="O9" s="1056"/>
      <c r="P9" s="1056"/>
      <c r="Q9" s="1056"/>
      <c r="R9" s="1056"/>
      <c r="S9" s="1056"/>
    </row>
    <row r="10" spans="1:19" ht="13.5" customHeight="1" x14ac:dyDescent="0.25">
      <c r="A10" s="923" t="s">
        <v>6</v>
      </c>
      <c r="B10" s="2755" t="s">
        <v>1226</v>
      </c>
      <c r="C10" s="2755"/>
      <c r="D10" s="2755"/>
      <c r="E10" s="2755"/>
      <c r="F10" s="885" t="s">
        <v>320</v>
      </c>
      <c r="G10" s="920" t="s">
        <v>1008</v>
      </c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</row>
    <row r="11" spans="1:19" ht="17.25" customHeight="1" x14ac:dyDescent="0.25">
      <c r="A11" s="924">
        <v>1</v>
      </c>
      <c r="B11" s="2714" t="s">
        <v>1224</v>
      </c>
      <c r="C11" s="2714"/>
      <c r="D11" s="2714"/>
      <c r="E11" s="2714"/>
      <c r="F11" s="887">
        <f>'Звіт   9'!H48+'Звіт   9'!H49</f>
        <v>3908.7</v>
      </c>
      <c r="G11" s="922">
        <f>F11*100/$F$14</f>
        <v>6.5</v>
      </c>
      <c r="H11" s="1056"/>
      <c r="I11" s="1056"/>
      <c r="J11" s="1056"/>
      <c r="K11" s="1056"/>
      <c r="L11" s="1056"/>
      <c r="M11" s="1056"/>
      <c r="N11" s="1056"/>
      <c r="O11" s="1056"/>
      <c r="P11" s="1056"/>
      <c r="Q11" s="1056"/>
      <c r="R11" s="1056"/>
      <c r="S11" s="1056"/>
    </row>
    <row r="12" spans="1:19" ht="17.25" customHeight="1" x14ac:dyDescent="0.25">
      <c r="A12" s="921" t="s">
        <v>81</v>
      </c>
      <c r="B12" s="2714" t="s">
        <v>1010</v>
      </c>
      <c r="C12" s="2714"/>
      <c r="D12" s="2714"/>
      <c r="E12" s="2714"/>
      <c r="F12" s="887">
        <f>'Звіт   9'!H49</f>
        <v>3908.7</v>
      </c>
      <c r="G12" s="922">
        <f>F12*100/$F$14</f>
        <v>6.5</v>
      </c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</row>
    <row r="13" spans="1:19" ht="17.25" customHeight="1" x14ac:dyDescent="0.25">
      <c r="A13" s="921" t="s">
        <v>1014</v>
      </c>
      <c r="B13" s="2756" t="s">
        <v>1011</v>
      </c>
      <c r="C13" s="2756"/>
      <c r="D13" s="2756"/>
      <c r="E13" s="2756"/>
      <c r="F13" s="887">
        <f>('Звіт 1,2,3'!H19+'Звіт 1,2,3'!I19+'Звіт 1,2,3'!K19+'Звіт 1,2,3'!M19+'Звіт 1,2,3'!S19)/1000</f>
        <v>56308.6</v>
      </c>
      <c r="G13" s="922">
        <f>F13*100/$F$14</f>
        <v>93.5</v>
      </c>
      <c r="H13" s="1056"/>
      <c r="I13" s="1056"/>
      <c r="J13" s="1056"/>
      <c r="K13" s="1056"/>
      <c r="L13" s="1056"/>
      <c r="M13" s="1056"/>
      <c r="N13" s="1056"/>
      <c r="O13" s="1056"/>
      <c r="P13" s="1056"/>
      <c r="Q13" s="1056"/>
      <c r="R13" s="1056"/>
      <c r="S13" s="1056"/>
    </row>
    <row r="14" spans="1:19" ht="17.25" customHeight="1" x14ac:dyDescent="0.25">
      <c r="A14" s="925" t="s">
        <v>262</v>
      </c>
      <c r="B14" s="2760" t="s">
        <v>1012</v>
      </c>
      <c r="C14" s="2760"/>
      <c r="D14" s="2760"/>
      <c r="E14" s="2760"/>
      <c r="F14" s="1487">
        <f>F12+F13</f>
        <v>60217.3</v>
      </c>
      <c r="G14" s="1488" t="s">
        <v>1013</v>
      </c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</row>
    <row r="15" spans="1:19" ht="17.25" customHeight="1" x14ac:dyDescent="0.25">
      <c r="A15" s="921" t="s">
        <v>1221</v>
      </c>
      <c r="B15" s="2756" t="s">
        <v>1015</v>
      </c>
      <c r="C15" s="2756"/>
      <c r="D15" s="2756"/>
      <c r="E15" s="2756"/>
      <c r="F15" s="887">
        <f>F14-F16</f>
        <v>47489.8</v>
      </c>
      <c r="G15" s="922">
        <f>F15*100/$F$14</f>
        <v>78.900000000000006</v>
      </c>
      <c r="H15" s="1056"/>
      <c r="I15" s="1056"/>
      <c r="J15" s="1056"/>
      <c r="K15" s="1056"/>
      <c r="L15" s="1056"/>
      <c r="M15" s="1056"/>
      <c r="N15" s="1056"/>
      <c r="O15" s="1056"/>
      <c r="P15" s="1056"/>
      <c r="Q15" s="1056"/>
      <c r="R15" s="1056"/>
      <c r="S15" s="1056"/>
    </row>
    <row r="16" spans="1:19" ht="17.25" customHeight="1" x14ac:dyDescent="0.25">
      <c r="A16" s="921" t="s">
        <v>1222</v>
      </c>
      <c r="B16" s="2756" t="s">
        <v>1016</v>
      </c>
      <c r="C16" s="2756"/>
      <c r="D16" s="2756"/>
      <c r="E16" s="2756"/>
      <c r="F16" s="887">
        <f>'Звіт   9'!K49</f>
        <v>12727.5</v>
      </c>
      <c r="G16" s="922">
        <f>F16*100/$F$14</f>
        <v>21.1</v>
      </c>
      <c r="H16" s="1056"/>
      <c r="I16" s="1056"/>
      <c r="J16" s="1056"/>
      <c r="K16" s="1056"/>
      <c r="L16" s="1056"/>
      <c r="M16" s="1056"/>
      <c r="N16" s="1056"/>
      <c r="O16" s="1056"/>
      <c r="P16" s="1056"/>
      <c r="Q16" s="1056"/>
      <c r="R16" s="1056"/>
      <c r="S16" s="1056"/>
    </row>
    <row r="17" spans="1:19" ht="17.25" customHeight="1" x14ac:dyDescent="0.25">
      <c r="A17" s="921" t="s">
        <v>1223</v>
      </c>
      <c r="B17" s="2714" t="s">
        <v>1224</v>
      </c>
      <c r="C17" s="2714"/>
      <c r="D17" s="2714"/>
      <c r="E17" s="2714"/>
      <c r="F17" s="887">
        <f>'Звіт   9'!K48+'Звіт   9'!K49</f>
        <v>12727.5</v>
      </c>
      <c r="G17" s="922">
        <f>F17*100/$F$14</f>
        <v>21.1</v>
      </c>
      <c r="H17" s="1056"/>
      <c r="I17" s="1056"/>
      <c r="J17" s="1056"/>
      <c r="K17" s="1056"/>
      <c r="L17" s="1056"/>
      <c r="M17" s="1056"/>
      <c r="N17" s="1056"/>
      <c r="O17" s="1056"/>
      <c r="P17" s="1056"/>
      <c r="Q17" s="1056"/>
      <c r="R17" s="1056"/>
      <c r="S17" s="1056"/>
    </row>
    <row r="18" spans="1:19" ht="25.5" customHeight="1" x14ac:dyDescent="0.25">
      <c r="A18" s="917"/>
      <c r="B18" s="918"/>
      <c r="C18" s="918"/>
      <c r="D18" s="918"/>
      <c r="E18" s="918"/>
      <c r="F18" s="895"/>
      <c r="G18" s="919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6"/>
    </row>
    <row r="19" spans="1:19" x14ac:dyDescent="0.25">
      <c r="A19" s="2752" t="s">
        <v>1017</v>
      </c>
      <c r="B19" s="2752"/>
      <c r="C19" s="2752"/>
      <c r="D19" s="2752"/>
      <c r="E19" s="2752"/>
      <c r="F19" s="2752"/>
      <c r="G19" s="2752"/>
      <c r="H19" s="2784" t="s">
        <v>1002</v>
      </c>
      <c r="I19" s="2778" t="s">
        <v>1009</v>
      </c>
      <c r="J19" s="2779"/>
      <c r="K19" s="2759" t="s">
        <v>447</v>
      </c>
      <c r="L19" s="2759"/>
      <c r="M19" s="2759"/>
      <c r="N19" s="2759"/>
      <c r="O19" s="2759"/>
      <c r="P19" s="2759"/>
      <c r="Q19" s="1056"/>
      <c r="R19" s="1056"/>
      <c r="S19" s="1056"/>
    </row>
    <row r="20" spans="1:19" x14ac:dyDescent="0.25">
      <c r="A20" s="2757" t="s">
        <v>1018</v>
      </c>
      <c r="B20" s="2758"/>
      <c r="C20" s="2758"/>
      <c r="D20" s="2758"/>
      <c r="E20" s="2758"/>
      <c r="F20" s="2758"/>
      <c r="G20" s="2758"/>
      <c r="H20" s="2784"/>
      <c r="I20" s="2780"/>
      <c r="J20" s="2781"/>
      <c r="K20" s="2759" t="s">
        <v>197</v>
      </c>
      <c r="L20" s="2759"/>
      <c r="M20" s="2759" t="s">
        <v>178</v>
      </c>
      <c r="N20" s="2759"/>
      <c r="O20" s="2759" t="s">
        <v>13</v>
      </c>
      <c r="P20" s="2759"/>
      <c r="Q20" s="1056"/>
      <c r="R20" s="1056"/>
      <c r="S20" s="1056"/>
    </row>
    <row r="21" spans="1:19" ht="30" x14ac:dyDescent="0.25">
      <c r="A21" s="492" t="s">
        <v>6</v>
      </c>
      <c r="B21" s="2759" t="s">
        <v>1226</v>
      </c>
      <c r="C21" s="2759"/>
      <c r="D21" s="2759"/>
      <c r="E21" s="2759"/>
      <c r="F21" s="885" t="s">
        <v>320</v>
      </c>
      <c r="G21" s="920" t="s">
        <v>1008</v>
      </c>
      <c r="H21" s="2784"/>
      <c r="I21" s="2782"/>
      <c r="J21" s="2783"/>
      <c r="K21" s="1055" t="s">
        <v>80</v>
      </c>
      <c r="L21" s="1055" t="s">
        <v>1100</v>
      </c>
      <c r="M21" s="1055" t="s">
        <v>80</v>
      </c>
      <c r="N21" s="1055" t="s">
        <v>1100</v>
      </c>
      <c r="O21" s="1055" t="s">
        <v>80</v>
      </c>
      <c r="P21" s="1055" t="s">
        <v>1100</v>
      </c>
      <c r="Q21" s="1058" t="s">
        <v>1228</v>
      </c>
      <c r="R21" s="1056"/>
      <c r="S21" s="1056"/>
    </row>
    <row r="22" spans="1:19" ht="15" customHeight="1" x14ac:dyDescent="0.25">
      <c r="A22" s="931">
        <v>1</v>
      </c>
      <c r="B22" s="2750" t="s">
        <v>1019</v>
      </c>
      <c r="C22" s="2750"/>
      <c r="D22" s="2750"/>
      <c r="E22" s="2750"/>
      <c r="F22" s="897">
        <f>F23+F33+F34+F35+F36+F37</f>
        <v>66714.899999999994</v>
      </c>
      <c r="G22" s="932">
        <f t="shared" ref="G22:G39" si="1">(F22*100/($F$23+$F$33+$F$34+$F$35+$F$36+$F$37))</f>
        <v>100</v>
      </c>
      <c r="H22" s="2742">
        <f>H23+I23+H33+H34+H37+I37+H35+H36</f>
        <v>46759</v>
      </c>
      <c r="I22" s="2742"/>
      <c r="J22" s="2742"/>
      <c r="K22" s="2742">
        <f>K23+L23+M23+N23+O23+P23+K33+K34+K37+L37+M37+N37+O37+P37+K35+K36</f>
        <v>19956</v>
      </c>
      <c r="L22" s="2742"/>
      <c r="M22" s="2742"/>
      <c r="N22" s="2742"/>
      <c r="O22" s="2742"/>
      <c r="P22" s="2742"/>
      <c r="Q22" s="1059">
        <f>F22-H22-K22</f>
        <v>-0.1</v>
      </c>
      <c r="R22" s="1056"/>
      <c r="S22" s="1056"/>
    </row>
    <row r="23" spans="1:19" ht="15" customHeight="1" x14ac:dyDescent="0.25">
      <c r="A23" s="908" t="s">
        <v>88</v>
      </c>
      <c r="B23" s="2750" t="s">
        <v>1020</v>
      </c>
      <c r="C23" s="2750"/>
      <c r="D23" s="2750"/>
      <c r="E23" s="2750"/>
      <c r="F23" s="897">
        <f>'Звіт 1,2,3'!G29/1000</f>
        <v>16485.400000000001</v>
      </c>
      <c r="G23" s="932">
        <f t="shared" si="1"/>
        <v>24.7</v>
      </c>
      <c r="H23" s="493">
        <f>'Звіт 1,2,3'!H29/1000</f>
        <v>3003.38</v>
      </c>
      <c r="I23" s="2777">
        <f>'Звіт 1,2,3'!S29/1000</f>
        <v>0</v>
      </c>
      <c r="J23" s="2777"/>
      <c r="K23" s="493">
        <f>'Звіт 1,2,3'!I29/1000</f>
        <v>0</v>
      </c>
      <c r="L23" s="906">
        <f>'Звіт 1,2,3'!J29/1000</f>
        <v>11614.51</v>
      </c>
      <c r="M23" s="493">
        <f>'Звіт 1,2,3'!K29/1000</f>
        <v>0</v>
      </c>
      <c r="N23" s="906">
        <f>'Звіт 1,2,3'!L29/1000</f>
        <v>0</v>
      </c>
      <c r="O23" s="493">
        <f>'Звіт 1,2,3'!M29/1000</f>
        <v>0</v>
      </c>
      <c r="P23" s="906">
        <f>'Звіт 1,2,3'!P29/1000</f>
        <v>1867.47</v>
      </c>
      <c r="Q23" s="1060">
        <f>F23-H23-I23-K23-L23-M23-N23-O23-P23</f>
        <v>0.04</v>
      </c>
      <c r="R23" s="1056"/>
      <c r="S23" s="1056"/>
    </row>
    <row r="24" spans="1:19" ht="15" customHeight="1" x14ac:dyDescent="0.25">
      <c r="A24" s="1052" t="s">
        <v>1021</v>
      </c>
      <c r="B24" s="2715" t="str">
        <f>'Звіт 1,2,3'!B31:E31</f>
        <v>Лікарські засоби</v>
      </c>
      <c r="C24" s="2715"/>
      <c r="D24" s="2715"/>
      <c r="E24" s="2715"/>
      <c r="F24" s="887">
        <f>'Звіт 1,2,3'!G31/1000</f>
        <v>13708.4</v>
      </c>
      <c r="G24" s="930">
        <f t="shared" si="1"/>
        <v>20.5</v>
      </c>
      <c r="H24" s="906">
        <f>'Звіт 1,2,3'!H31/1000</f>
        <v>819.77</v>
      </c>
      <c r="I24" s="2776">
        <f>'Звіт 1,2,3'!S31/1000</f>
        <v>0</v>
      </c>
      <c r="J24" s="2776"/>
      <c r="K24" s="906">
        <f>'Звіт 1,2,3'!I31/1000</f>
        <v>0</v>
      </c>
      <c r="L24" s="906">
        <f>'Звіт 1,2,3'!J31/1000</f>
        <v>11614.51</v>
      </c>
      <c r="M24" s="906">
        <f>'Звіт 1,2,3'!K31/1000</f>
        <v>0</v>
      </c>
      <c r="N24" s="906">
        <f>'Звіт 1,2,3'!L31/1000</f>
        <v>0</v>
      </c>
      <c r="O24" s="906">
        <f>'Звіт 1,2,3'!M31/1000</f>
        <v>0</v>
      </c>
      <c r="P24" s="906">
        <f>'Звіт 1,2,3'!P31/1000</f>
        <v>1274.1500000000001</v>
      </c>
      <c r="Q24" s="1060">
        <f t="shared" ref="Q24:Q39" si="2">F24-H24-I24-K24-L24-M24-N24-O24-P24</f>
        <v>-0.03</v>
      </c>
      <c r="R24" s="1056"/>
      <c r="S24" s="1056"/>
    </row>
    <row r="25" spans="1:19" ht="15" customHeight="1" x14ac:dyDescent="0.25">
      <c r="A25" s="1052" t="s">
        <v>1022</v>
      </c>
      <c r="B25" s="2715" t="s">
        <v>1113</v>
      </c>
      <c r="C25" s="2715"/>
      <c r="D25" s="2715"/>
      <c r="E25" s="2715"/>
      <c r="F25" s="887">
        <f>'Звіт 1,2,3'!G32/1000</f>
        <v>70.2</v>
      </c>
      <c r="G25" s="930">
        <f t="shared" si="1"/>
        <v>0.1</v>
      </c>
      <c r="H25" s="906">
        <f>'Звіт 1,2,3'!H32/1000</f>
        <v>33.6</v>
      </c>
      <c r="I25" s="2764">
        <f>'Звіт 1,2,3'!S32/1000</f>
        <v>0</v>
      </c>
      <c r="J25" s="2765"/>
      <c r="K25" s="906">
        <f>'Звіт 1,2,3'!I32/1000</f>
        <v>0</v>
      </c>
      <c r="L25" s="906">
        <f>'Звіт 1,2,3'!J32/1000</f>
        <v>0</v>
      </c>
      <c r="M25" s="906">
        <f>'Звіт 1,2,3'!K32/1000</f>
        <v>0</v>
      </c>
      <c r="N25" s="906">
        <f>'Звіт 1,2,3'!L32/1000</f>
        <v>0</v>
      </c>
      <c r="O25" s="906">
        <f>'Звіт 1,2,3'!M32/1000</f>
        <v>0</v>
      </c>
      <c r="P25" s="906">
        <f>'Звіт 1,2,3'!P32/1000</f>
        <v>36.64</v>
      </c>
      <c r="Q25" s="1060">
        <f t="shared" si="2"/>
        <v>-0.04</v>
      </c>
      <c r="R25" s="1056"/>
      <c r="S25" s="1056"/>
    </row>
    <row r="26" spans="1:19" ht="15" customHeight="1" x14ac:dyDescent="0.25">
      <c r="A26" s="1052" t="s">
        <v>1023</v>
      </c>
      <c r="B26" s="2715" t="str">
        <f>'Звіт 1,2,3'!B33:E33</f>
        <v>Вироби медичного призначення та допоміжні засоби слуху, зору, руху, засоби протезування для кардіології, ендопротезів, інші протези тощо</v>
      </c>
      <c r="C26" s="2715"/>
      <c r="D26" s="2715"/>
      <c r="E26" s="2715"/>
      <c r="F26" s="887">
        <f>'Звіт 1,2,3'!G33/1000</f>
        <v>0</v>
      </c>
      <c r="G26" s="930">
        <f t="shared" si="1"/>
        <v>0</v>
      </c>
      <c r="H26" s="906">
        <f>'Звіт 1,2,3'!H33/1000</f>
        <v>0</v>
      </c>
      <c r="I26" s="2764">
        <f>'Звіт 1,2,3'!S33/1000</f>
        <v>0</v>
      </c>
      <c r="J26" s="2765"/>
      <c r="K26" s="906">
        <f>'Звіт 1,2,3'!I33/1000</f>
        <v>0</v>
      </c>
      <c r="L26" s="906">
        <f>'Звіт 1,2,3'!J33/1000</f>
        <v>0</v>
      </c>
      <c r="M26" s="906">
        <f>'Звіт 1,2,3'!K33/1000</f>
        <v>0</v>
      </c>
      <c r="N26" s="906">
        <f>'Звіт 1,2,3'!L33/1000</f>
        <v>0</v>
      </c>
      <c r="O26" s="906">
        <f>'Звіт 1,2,3'!M33/1000</f>
        <v>0</v>
      </c>
      <c r="P26" s="906">
        <f>'Звіт 1,2,3'!P33/1000</f>
        <v>0</v>
      </c>
      <c r="Q26" s="1060">
        <f t="shared" si="2"/>
        <v>0</v>
      </c>
      <c r="R26" s="1056"/>
      <c r="S26" s="1056"/>
    </row>
    <row r="27" spans="1:19" ht="15" customHeight="1" x14ac:dyDescent="0.25">
      <c r="A27" s="907" t="s">
        <v>1024</v>
      </c>
      <c r="B27" s="2715" t="str">
        <f>'Звіт 1,2,3'!B34:E34</f>
        <v>Імунобіологічні препарати</v>
      </c>
      <c r="C27" s="2715"/>
      <c r="D27" s="2715"/>
      <c r="E27" s="2715"/>
      <c r="F27" s="887">
        <f>'Звіт 1,2,3'!G34/1000</f>
        <v>0</v>
      </c>
      <c r="G27" s="930">
        <f t="shared" si="1"/>
        <v>0</v>
      </c>
      <c r="H27" s="906">
        <f>'Звіт 1,2,3'!H34/1000</f>
        <v>0</v>
      </c>
      <c r="I27" s="2764">
        <f>'Звіт 1,2,3'!S34/1000</f>
        <v>0</v>
      </c>
      <c r="J27" s="2765"/>
      <c r="K27" s="906">
        <f>'Звіт 1,2,3'!I34/1000</f>
        <v>0</v>
      </c>
      <c r="L27" s="906">
        <f>'Звіт 1,2,3'!J34/1000</f>
        <v>0</v>
      </c>
      <c r="M27" s="906">
        <f>'Звіт 1,2,3'!K34/1000</f>
        <v>0</v>
      </c>
      <c r="N27" s="906">
        <f>'Звіт 1,2,3'!L34/1000</f>
        <v>0</v>
      </c>
      <c r="O27" s="906">
        <f>'Звіт 1,2,3'!M34/1000</f>
        <v>0</v>
      </c>
      <c r="P27" s="906">
        <f>'Звіт 1,2,3'!P34/1000</f>
        <v>0</v>
      </c>
      <c r="Q27" s="1060">
        <f t="shared" si="2"/>
        <v>0</v>
      </c>
      <c r="R27" s="1056"/>
      <c r="S27" s="1056"/>
    </row>
    <row r="28" spans="1:19" ht="15" customHeight="1" x14ac:dyDescent="0.25">
      <c r="A28" s="1052" t="s">
        <v>1025</v>
      </c>
      <c r="B28" s="2715" t="str">
        <f>'Звіт 1,2,3'!B35:E35</f>
        <v>Лікувальне харчування</v>
      </c>
      <c r="C28" s="2715"/>
      <c r="D28" s="2715"/>
      <c r="E28" s="2715"/>
      <c r="F28" s="887">
        <f>'Звіт 1,2,3'!G35/1000</f>
        <v>0</v>
      </c>
      <c r="G28" s="930">
        <f t="shared" si="1"/>
        <v>0</v>
      </c>
      <c r="H28" s="906">
        <f>'Звіт 1,2,3'!H35/1000</f>
        <v>0</v>
      </c>
      <c r="I28" s="2764">
        <f>'Звіт 1,2,3'!S35/1000</f>
        <v>0</v>
      </c>
      <c r="J28" s="2765"/>
      <c r="K28" s="906">
        <f>'Звіт 1,2,3'!I35/1000</f>
        <v>0</v>
      </c>
      <c r="L28" s="906">
        <f>'Звіт 1,2,3'!J35/1000</f>
        <v>0</v>
      </c>
      <c r="M28" s="906">
        <f>'Звіт 1,2,3'!K35/1000</f>
        <v>0</v>
      </c>
      <c r="N28" s="906">
        <f>'Звіт 1,2,3'!L35/1000</f>
        <v>0</v>
      </c>
      <c r="O28" s="906">
        <f>'Звіт 1,2,3'!M35/1000</f>
        <v>0</v>
      </c>
      <c r="P28" s="906">
        <f>'Звіт 1,2,3'!P35/1000</f>
        <v>0</v>
      </c>
      <c r="Q28" s="1060">
        <f t="shared" si="2"/>
        <v>0</v>
      </c>
      <c r="R28" s="1056"/>
      <c r="S28" s="1056"/>
    </row>
    <row r="29" spans="1:19" ht="15" customHeight="1" x14ac:dyDescent="0.25">
      <c r="A29" s="1052" t="s">
        <v>1026</v>
      </c>
      <c r="B29" s="2715" t="str">
        <f>'Звіт 1,2,3'!B36:E36</f>
        <v>Дизенфекційні засоби</v>
      </c>
      <c r="C29" s="2715"/>
      <c r="D29" s="2715"/>
      <c r="E29" s="2715"/>
      <c r="F29" s="887">
        <f>'Звіт 1,2,3'!G36/1000</f>
        <v>259.60000000000002</v>
      </c>
      <c r="G29" s="930">
        <f t="shared" si="1"/>
        <v>0.4</v>
      </c>
      <c r="H29" s="906">
        <f>'Звіт 1,2,3'!H36/1000</f>
        <v>250.76</v>
      </c>
      <c r="I29" s="2764">
        <f>'Звіт 1,2,3'!S36/1000</f>
        <v>0</v>
      </c>
      <c r="J29" s="2765"/>
      <c r="K29" s="906">
        <f>'Звіт 1,2,3'!I36/1000</f>
        <v>0</v>
      </c>
      <c r="L29" s="906">
        <f>'Звіт 1,2,3'!J36/1000</f>
        <v>0</v>
      </c>
      <c r="M29" s="906">
        <f>'Звіт 1,2,3'!K36/1000</f>
        <v>0</v>
      </c>
      <c r="N29" s="906">
        <f>'Звіт 1,2,3'!L36/1000</f>
        <v>0</v>
      </c>
      <c r="O29" s="906">
        <f>'Звіт 1,2,3'!M36/1000</f>
        <v>0</v>
      </c>
      <c r="P29" s="906">
        <f>'Звіт 1,2,3'!P36/1000</f>
        <v>8.8000000000000007</v>
      </c>
      <c r="Q29" s="1060">
        <f t="shared" si="2"/>
        <v>0.04</v>
      </c>
      <c r="R29" s="1056"/>
      <c r="S29" s="1056"/>
    </row>
    <row r="30" spans="1:19" ht="15" customHeight="1" x14ac:dyDescent="0.25">
      <c r="A30" s="1052" t="s">
        <v>1110</v>
      </c>
      <c r="B30" s="2715" t="str">
        <f>'Звіт 1,2,3'!B37:E37</f>
        <v>Засоби індивідуального захисту</v>
      </c>
      <c r="C30" s="2715"/>
      <c r="D30" s="2715"/>
      <c r="E30" s="2715"/>
      <c r="F30" s="887">
        <f>'Звіт 1,2,3'!G37/1000</f>
        <v>704.1</v>
      </c>
      <c r="G30" s="930">
        <f t="shared" si="1"/>
        <v>1.1000000000000001</v>
      </c>
      <c r="H30" s="906">
        <f>'Звіт 1,2,3'!H37/1000</f>
        <v>428.09</v>
      </c>
      <c r="I30" s="2764">
        <f>'Звіт 1,2,3'!S37/1000</f>
        <v>0</v>
      </c>
      <c r="J30" s="2765"/>
      <c r="K30" s="906">
        <f>'Звіт 1,2,3'!I37/1000</f>
        <v>0</v>
      </c>
      <c r="L30" s="906">
        <f>'Звіт 1,2,3'!J37/1000</f>
        <v>0</v>
      </c>
      <c r="M30" s="906">
        <f>'Звіт 1,2,3'!K37/1000</f>
        <v>0</v>
      </c>
      <c r="N30" s="906">
        <f>'Звіт 1,2,3'!L37/1000</f>
        <v>0</v>
      </c>
      <c r="O30" s="906">
        <f>'Звіт 1,2,3'!M37/1000</f>
        <v>0</v>
      </c>
      <c r="P30" s="906">
        <f>'Звіт 1,2,3'!P37/1000</f>
        <v>276.04000000000002</v>
      </c>
      <c r="Q30" s="1060">
        <f t="shared" si="2"/>
        <v>-0.03</v>
      </c>
      <c r="R30" s="1056"/>
      <c r="S30" s="1056"/>
    </row>
    <row r="31" spans="1:19" ht="15" customHeight="1" x14ac:dyDescent="0.25">
      <c r="A31" s="1052" t="s">
        <v>1111</v>
      </c>
      <c r="B31" s="2715" t="str">
        <f>'Звіт 1,2,3'!B38:E38</f>
        <v>Продукти харчування</v>
      </c>
      <c r="C31" s="2715"/>
      <c r="D31" s="2715"/>
      <c r="E31" s="2715"/>
      <c r="F31" s="887">
        <f>'Звіт 1,2,3'!G38/1000</f>
        <v>1279</v>
      </c>
      <c r="G31" s="930">
        <f t="shared" si="1"/>
        <v>1.9</v>
      </c>
      <c r="H31" s="906">
        <f>'Звіт 1,2,3'!H38/1000</f>
        <v>1214.53</v>
      </c>
      <c r="I31" s="2764">
        <f>'Звіт 1,2,3'!S38/1000</f>
        <v>0</v>
      </c>
      <c r="J31" s="2765"/>
      <c r="K31" s="906">
        <f>'Звіт 1,2,3'!I38/1000</f>
        <v>0</v>
      </c>
      <c r="L31" s="906">
        <f>'Звіт 1,2,3'!J38/1000</f>
        <v>0</v>
      </c>
      <c r="M31" s="906">
        <f>'Звіт 1,2,3'!K38/1000</f>
        <v>0</v>
      </c>
      <c r="N31" s="906">
        <f>'Звіт 1,2,3'!L38/1000</f>
        <v>0</v>
      </c>
      <c r="O31" s="906">
        <f>'Звіт 1,2,3'!M38/1000</f>
        <v>0</v>
      </c>
      <c r="P31" s="906">
        <f>'Звіт 1,2,3'!P38/1000</f>
        <v>64.5</v>
      </c>
      <c r="Q31" s="1060">
        <f t="shared" si="2"/>
        <v>-0.03</v>
      </c>
      <c r="R31" s="1056"/>
      <c r="S31" s="1056"/>
    </row>
    <row r="32" spans="1:19" ht="15" customHeight="1" x14ac:dyDescent="0.25">
      <c r="A32" s="1052" t="s">
        <v>1112</v>
      </c>
      <c r="B32" s="2715" t="s">
        <v>1027</v>
      </c>
      <c r="C32" s="2715"/>
      <c r="D32" s="2715"/>
      <c r="E32" s="2715"/>
      <c r="F32" s="887">
        <f>F23-F24-F25-F26-F27-F28-F29-F30-F31</f>
        <v>464.1</v>
      </c>
      <c r="G32" s="930">
        <f t="shared" si="1"/>
        <v>0.7</v>
      </c>
      <c r="H32" s="906">
        <f>H23-H24-H25-H26-H27-H28-H29-H30-H31</f>
        <v>256.63</v>
      </c>
      <c r="I32" s="2764">
        <f>I23-I24-I25-I26-I27-I28-I29-I30-I31</f>
        <v>0</v>
      </c>
      <c r="J32" s="2765"/>
      <c r="K32" s="906">
        <f t="shared" ref="K32:P32" si="3">K23-K24-K25-K26-K27-K28-K29-K30-K31</f>
        <v>0</v>
      </c>
      <c r="L32" s="906">
        <f t="shared" si="3"/>
        <v>0</v>
      </c>
      <c r="M32" s="906">
        <f t="shared" si="3"/>
        <v>0</v>
      </c>
      <c r="N32" s="906">
        <f t="shared" si="3"/>
        <v>0</v>
      </c>
      <c r="O32" s="906">
        <f t="shared" si="3"/>
        <v>0</v>
      </c>
      <c r="P32" s="906">
        <f t="shared" si="3"/>
        <v>207.34</v>
      </c>
      <c r="Q32" s="1060">
        <f t="shared" si="2"/>
        <v>0.13</v>
      </c>
      <c r="R32" s="1056"/>
      <c r="S32" s="1056"/>
    </row>
    <row r="33" spans="1:19" ht="15" customHeight="1" x14ac:dyDescent="0.25">
      <c r="A33" s="908" t="s">
        <v>89</v>
      </c>
      <c r="B33" s="2750" t="s">
        <v>1028</v>
      </c>
      <c r="C33" s="2750"/>
      <c r="D33" s="2750"/>
      <c r="E33" s="2750"/>
      <c r="F33" s="887">
        <f>('Звіт   4,5,6'!E43+'Звіт   4,5,6'!E44+'Звіт   4,5,6'!E45)/1000</f>
        <v>40772.6</v>
      </c>
      <c r="G33" s="932">
        <f t="shared" si="1"/>
        <v>61.1</v>
      </c>
      <c r="H33" s="2764">
        <f>F33-K33</f>
        <v>40772.6</v>
      </c>
      <c r="I33" s="2766"/>
      <c r="J33" s="2765"/>
      <c r="K33" s="2764">
        <f>('Звіт   4,5,6'!O43+'Звіт   4,5,6'!O44+'Звіт   4,5,6'!O45)/1000</f>
        <v>0</v>
      </c>
      <c r="L33" s="2766"/>
      <c r="M33" s="2766"/>
      <c r="N33" s="2766"/>
      <c r="O33" s="2766"/>
      <c r="P33" s="2765"/>
      <c r="Q33" s="1060">
        <f t="shared" si="2"/>
        <v>0</v>
      </c>
      <c r="R33" s="1056"/>
      <c r="S33" s="1056"/>
    </row>
    <row r="34" spans="1:19" ht="15" customHeight="1" x14ac:dyDescent="0.25">
      <c r="A34" s="908" t="s">
        <v>90</v>
      </c>
      <c r="B34" s="2750" t="s">
        <v>1029</v>
      </c>
      <c r="C34" s="2750"/>
      <c r="D34" s="2750"/>
      <c r="E34" s="2750"/>
      <c r="F34" s="887">
        <f>('Звіт   4,5,6'!E70/1000)</f>
        <v>2655</v>
      </c>
      <c r="G34" s="932">
        <f t="shared" si="1"/>
        <v>4</v>
      </c>
      <c r="H34" s="2764">
        <f>F34-K34</f>
        <v>2655</v>
      </c>
      <c r="I34" s="2766"/>
      <c r="J34" s="2765"/>
      <c r="K34" s="2764">
        <f>'Звіт   4,5,6'!O70/1000</f>
        <v>0</v>
      </c>
      <c r="L34" s="2766"/>
      <c r="M34" s="2766"/>
      <c r="N34" s="2766"/>
      <c r="O34" s="2766"/>
      <c r="P34" s="2765"/>
      <c r="Q34" s="1060">
        <f t="shared" si="2"/>
        <v>0</v>
      </c>
      <c r="R34" s="1056"/>
      <c r="S34" s="1056"/>
    </row>
    <row r="35" spans="1:19" ht="15" customHeight="1" x14ac:dyDescent="0.25">
      <c r="A35" s="908" t="s">
        <v>1030</v>
      </c>
      <c r="B35" s="2750" t="s">
        <v>201</v>
      </c>
      <c r="C35" s="2750"/>
      <c r="D35" s="2750"/>
      <c r="E35" s="2750"/>
      <c r="F35" s="887">
        <f>'Звіт   4,5,6'!E59/1000</f>
        <v>4437.3</v>
      </c>
      <c r="G35" s="932">
        <f t="shared" si="1"/>
        <v>6.7</v>
      </c>
      <c r="H35" s="2764">
        <f>F35-K35</f>
        <v>0</v>
      </c>
      <c r="I35" s="2766"/>
      <c r="J35" s="2765"/>
      <c r="K35" s="2785">
        <f>'Звіт   4,5,6'!O59/1000</f>
        <v>4437.3</v>
      </c>
      <c r="L35" s="2786"/>
      <c r="M35" s="2786"/>
      <c r="N35" s="2786"/>
      <c r="O35" s="2786"/>
      <c r="P35" s="2787"/>
      <c r="Q35" s="1060">
        <f t="shared" si="2"/>
        <v>0</v>
      </c>
      <c r="R35" s="1056"/>
      <c r="S35" s="1056"/>
    </row>
    <row r="36" spans="1:19" ht="12.75" customHeight="1" x14ac:dyDescent="0.25">
      <c r="A36" s="908" t="s">
        <v>1031</v>
      </c>
      <c r="B36" s="2750" t="s">
        <v>593</v>
      </c>
      <c r="C36" s="2750"/>
      <c r="D36" s="2750"/>
      <c r="E36" s="2750"/>
      <c r="F36" s="887">
        <f>'Звіт   4,5,6'!E62/1000</f>
        <v>199.7</v>
      </c>
      <c r="G36" s="932">
        <f t="shared" si="1"/>
        <v>0.3</v>
      </c>
      <c r="H36" s="2764">
        <f>F36-K36</f>
        <v>199.7</v>
      </c>
      <c r="I36" s="2766"/>
      <c r="J36" s="2765"/>
      <c r="K36" s="2785">
        <f>'Звіт   4,5,6'!O62/1000</f>
        <v>0</v>
      </c>
      <c r="L36" s="2786"/>
      <c r="M36" s="2786"/>
      <c r="N36" s="2786"/>
      <c r="O36" s="2786"/>
      <c r="P36" s="2787"/>
      <c r="Q36" s="1060">
        <f t="shared" si="2"/>
        <v>0</v>
      </c>
      <c r="R36" s="1056"/>
      <c r="S36" s="1056"/>
    </row>
    <row r="37" spans="1:19" ht="15" customHeight="1" x14ac:dyDescent="0.25">
      <c r="A37" s="908" t="s">
        <v>1032</v>
      </c>
      <c r="B37" s="2750" t="s">
        <v>1033</v>
      </c>
      <c r="C37" s="2750"/>
      <c r="D37" s="2750"/>
      <c r="E37" s="2750"/>
      <c r="F37" s="887">
        <f>'Звіт 1,2,3'!G71/1000</f>
        <v>2164.9</v>
      </c>
      <c r="G37" s="932">
        <f t="shared" si="1"/>
        <v>3.2</v>
      </c>
      <c r="H37" s="493">
        <f>'Звіт 1,2,3'!H71/1000</f>
        <v>128.27000000000001</v>
      </c>
      <c r="I37" s="2788">
        <f>'Звіт 1,2,3'!O71/1000</f>
        <v>0</v>
      </c>
      <c r="J37" s="2789"/>
      <c r="K37" s="493">
        <f>'Звіт 1,2,3'!I71/1000</f>
        <v>0</v>
      </c>
      <c r="L37" s="906">
        <f>'Звіт 1,2,3'!J71/1000</f>
        <v>0</v>
      </c>
      <c r="M37" s="493">
        <f>'Звіт 1,2,3'!K71/1000</f>
        <v>0</v>
      </c>
      <c r="N37" s="906">
        <f>'Звіт 1,2,3'!L71/1000</f>
        <v>0</v>
      </c>
      <c r="O37" s="493">
        <f>'Звіт 1,2,3'!M71/1000</f>
        <v>0</v>
      </c>
      <c r="P37" s="906">
        <f>'Звіт 1,2,3'!N71/1000</f>
        <v>2036.67</v>
      </c>
      <c r="Q37" s="1060">
        <f t="shared" si="2"/>
        <v>-0.04</v>
      </c>
      <c r="R37" s="1056"/>
      <c r="S37" s="1056"/>
    </row>
    <row r="38" spans="1:19" ht="15" customHeight="1" x14ac:dyDescent="0.25">
      <c r="A38" s="1052" t="s">
        <v>1034</v>
      </c>
      <c r="B38" s="2751" t="s">
        <v>1035</v>
      </c>
      <c r="C38" s="2751"/>
      <c r="D38" s="2751"/>
      <c r="E38" s="2751"/>
      <c r="F38" s="887">
        <f>('Звіт 1,2,3'!G73+'Звіт 1,2,3'!G77+'Звіт 1,2,3'!G80+'Звіт 1,2,3'!G82)/1000</f>
        <v>2164.9</v>
      </c>
      <c r="G38" s="930">
        <f t="shared" si="1"/>
        <v>3.2</v>
      </c>
      <c r="H38" s="906">
        <f>('Звіт 1,2,3'!H73+'Звіт 1,2,3'!H77+'Звіт 1,2,3'!H80+'Звіт 1,2,3'!H82)/1000</f>
        <v>128.27000000000001</v>
      </c>
      <c r="I38" s="2764">
        <f>('Звіт 1,2,3'!O73+'Звіт 1,2,3'!O77+'Звіт 1,2,3'!O80+'Звіт 1,2,3'!O82)/1000</f>
        <v>0</v>
      </c>
      <c r="J38" s="2765"/>
      <c r="K38" s="906">
        <f>('Звіт 1,2,3'!I73+'Звіт 1,2,3'!I77+'Звіт 1,2,3'!I80+'Звіт 1,2,3'!I82)/1000</f>
        <v>0</v>
      </c>
      <c r="L38" s="906">
        <f>('Звіт 1,2,3'!J73+'Звіт 1,2,3'!J77+'Звіт 1,2,3'!J80+'Звіт 1,2,3'!J82)/1000</f>
        <v>0</v>
      </c>
      <c r="M38" s="906">
        <f>('Звіт 1,2,3'!K73+'Звіт 1,2,3'!K77+'Звіт 1,2,3'!K80+'Звіт 1,2,3'!K82)/1000</f>
        <v>0</v>
      </c>
      <c r="N38" s="906">
        <f>('Звіт 1,2,3'!L73+'Звіт 1,2,3'!L77+'Звіт 1,2,3'!L80+'Звіт 1,2,3'!L82)/1000</f>
        <v>0</v>
      </c>
      <c r="O38" s="906">
        <f>('Звіт 1,2,3'!M73+'Звіт 1,2,3'!M77+'Звіт 1,2,3'!M80+'Звіт 1,2,3'!M82)/1000</f>
        <v>0</v>
      </c>
      <c r="P38" s="906">
        <f>('Звіт 1,2,3'!N73+'Звіт 1,2,3'!N77+'Звіт 1,2,3'!N80+'Звіт 1,2,3'!N82)/1000</f>
        <v>2036.67</v>
      </c>
      <c r="Q38" s="1060">
        <f t="shared" si="2"/>
        <v>-0.04</v>
      </c>
      <c r="R38" s="1056"/>
      <c r="S38" s="1056"/>
    </row>
    <row r="39" spans="1:19" ht="15" customHeight="1" x14ac:dyDescent="0.25">
      <c r="A39" s="1052" t="s">
        <v>1036</v>
      </c>
      <c r="B39" s="2751" t="s">
        <v>1037</v>
      </c>
      <c r="C39" s="2751"/>
      <c r="D39" s="2751"/>
      <c r="E39" s="2751"/>
      <c r="F39" s="887">
        <f>F37-F38</f>
        <v>0</v>
      </c>
      <c r="G39" s="930">
        <f t="shared" si="1"/>
        <v>0</v>
      </c>
      <c r="H39" s="906">
        <f>H37-H38</f>
        <v>0</v>
      </c>
      <c r="I39" s="2764">
        <f>I37-I38</f>
        <v>0</v>
      </c>
      <c r="J39" s="2765"/>
      <c r="K39" s="906">
        <f t="shared" ref="K39:P39" si="4">K37-K38</f>
        <v>0</v>
      </c>
      <c r="L39" s="906">
        <f t="shared" si="4"/>
        <v>0</v>
      </c>
      <c r="M39" s="906">
        <f t="shared" si="4"/>
        <v>0</v>
      </c>
      <c r="N39" s="906">
        <f t="shared" si="4"/>
        <v>0</v>
      </c>
      <c r="O39" s="906">
        <f t="shared" si="4"/>
        <v>0</v>
      </c>
      <c r="P39" s="906">
        <f t="shared" si="4"/>
        <v>0</v>
      </c>
      <c r="Q39" s="1060">
        <f t="shared" si="2"/>
        <v>0</v>
      </c>
      <c r="R39" s="1056"/>
      <c r="S39" s="1056"/>
    </row>
    <row r="40" spans="1:19" x14ac:dyDescent="0.25">
      <c r="A40" s="1052"/>
      <c r="B40" s="2763" t="s">
        <v>1105</v>
      </c>
      <c r="C40" s="2763"/>
      <c r="D40" s="2763"/>
      <c r="E40" s="2763"/>
      <c r="F40" s="898">
        <f>Аналіз!J74</f>
        <v>13.1</v>
      </c>
      <c r="G40" s="930"/>
      <c r="H40" s="1056"/>
      <c r="I40" s="1056"/>
      <c r="J40" s="1056"/>
      <c r="K40" s="1056"/>
      <c r="L40" s="1056"/>
      <c r="M40" s="1056"/>
      <c r="N40" s="1056"/>
      <c r="O40" s="1056"/>
      <c r="P40" s="1056"/>
      <c r="Q40" s="1056"/>
      <c r="R40" s="1056"/>
      <c r="S40" s="1056"/>
    </row>
    <row r="41" spans="1:19" x14ac:dyDescent="0.25">
      <c r="A41" s="2752" t="s">
        <v>1038</v>
      </c>
      <c r="B41" s="2752"/>
      <c r="C41" s="2752"/>
      <c r="D41" s="2752"/>
      <c r="E41" s="2752"/>
      <c r="F41" s="2752"/>
      <c r="G41" s="2752"/>
      <c r="H41" s="1056"/>
      <c r="I41" s="1056"/>
      <c r="J41" s="1056"/>
      <c r="K41" s="1056"/>
      <c r="L41" s="1056"/>
      <c r="M41" s="1056"/>
      <c r="N41" s="1056"/>
      <c r="O41" s="1056"/>
      <c r="P41" s="1056"/>
      <c r="Q41" s="1056"/>
      <c r="R41" s="1056"/>
      <c r="S41" s="1056"/>
    </row>
    <row r="42" spans="1:19" x14ac:dyDescent="0.25">
      <c r="A42" s="2753" t="s">
        <v>1039</v>
      </c>
      <c r="B42" s="2754"/>
      <c r="C42" s="2754"/>
      <c r="D42" s="2754"/>
      <c r="E42" s="2754"/>
      <c r="F42" s="2754"/>
      <c r="G42" s="2754"/>
      <c r="H42" s="1056"/>
      <c r="I42" s="1056"/>
      <c r="J42" s="1056"/>
      <c r="K42" s="1056"/>
      <c r="L42" s="1056"/>
      <c r="M42" s="1056"/>
      <c r="N42" s="1056"/>
      <c r="O42" s="1056"/>
      <c r="P42" s="1056"/>
      <c r="Q42" s="1056"/>
      <c r="R42" s="1056"/>
      <c r="S42" s="1056"/>
    </row>
    <row r="43" spans="1:19" x14ac:dyDescent="0.25">
      <c r="A43" s="491" t="s">
        <v>6</v>
      </c>
      <c r="B43" s="2755" t="s">
        <v>1226</v>
      </c>
      <c r="C43" s="2755"/>
      <c r="D43" s="2755"/>
      <c r="E43" s="2755"/>
      <c r="F43" s="1055" t="s">
        <v>320</v>
      </c>
      <c r="G43" s="1054" t="s">
        <v>1008</v>
      </c>
      <c r="H43" s="1056"/>
      <c r="I43" s="1056"/>
      <c r="J43" s="1056"/>
      <c r="K43" s="1056"/>
      <c r="L43" s="1056"/>
      <c r="M43" s="1056"/>
      <c r="N43" s="1056"/>
      <c r="O43" s="1056"/>
      <c r="P43" s="1056"/>
      <c r="Q43" s="1056"/>
      <c r="R43" s="1056"/>
      <c r="S43" s="1056"/>
    </row>
    <row r="44" spans="1:19" x14ac:dyDescent="0.25">
      <c r="A44" s="899" t="s">
        <v>261</v>
      </c>
      <c r="B44" s="2713" t="s">
        <v>1381</v>
      </c>
      <c r="C44" s="2713"/>
      <c r="D44" s="2713"/>
      <c r="E44" s="2713"/>
      <c r="F44" s="900">
        <f>F45+F51+F56+F58</f>
        <v>67359.399999999994</v>
      </c>
      <c r="G44" s="901">
        <f t="shared" ref="G44:G69" si="5">F44*100/$F$44</f>
        <v>100</v>
      </c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</row>
    <row r="45" spans="1:19" ht="28.5" customHeight="1" x14ac:dyDescent="0.25">
      <c r="A45" s="909" t="s">
        <v>88</v>
      </c>
      <c r="B45" s="2731" t="s">
        <v>1040</v>
      </c>
      <c r="C45" s="2732"/>
      <c r="D45" s="2732"/>
      <c r="E45" s="2733"/>
      <c r="F45" s="910">
        <f>'Звіт   4,5,6'!H8/1000+'Звіт   9'!K93</f>
        <v>50956</v>
      </c>
      <c r="G45" s="911">
        <f t="shared" si="5"/>
        <v>75.599999999999994</v>
      </c>
      <c r="H45" s="1056"/>
      <c r="I45" s="1056"/>
      <c r="J45" s="1056"/>
      <c r="K45" s="1056"/>
      <c r="L45" s="1056"/>
      <c r="M45" s="1056"/>
      <c r="N45" s="1056"/>
      <c r="O45" s="1056"/>
      <c r="P45" s="1056"/>
      <c r="Q45" s="1056"/>
      <c r="R45" s="1056"/>
      <c r="S45" s="1056"/>
    </row>
    <row r="46" spans="1:19" x14ac:dyDescent="0.25">
      <c r="A46" s="1052" t="s">
        <v>1021</v>
      </c>
      <c r="B46" s="2746" t="s">
        <v>1041</v>
      </c>
      <c r="C46" s="2747"/>
      <c r="D46" s="2747"/>
      <c r="E46" s="2748"/>
      <c r="F46" s="887">
        <f>('Звіт   4,5,6'!H9+'Звіт   4,5,6'!H10)/1000</f>
        <v>0</v>
      </c>
      <c r="G46" s="902">
        <f t="shared" si="5"/>
        <v>0</v>
      </c>
      <c r="H46" s="1056"/>
      <c r="I46" s="1056"/>
      <c r="J46" s="1056"/>
      <c r="K46" s="1056"/>
      <c r="L46" s="1056"/>
      <c r="M46" s="1056"/>
      <c r="N46" s="1056"/>
      <c r="O46" s="1056"/>
      <c r="P46" s="1056"/>
      <c r="Q46" s="1056"/>
      <c r="R46" s="1056"/>
      <c r="S46" s="1056"/>
    </row>
    <row r="47" spans="1:19" ht="16.5" customHeight="1" x14ac:dyDescent="0.25">
      <c r="A47" s="1052" t="s">
        <v>1022</v>
      </c>
      <c r="B47" s="2728" t="s">
        <v>317</v>
      </c>
      <c r="C47" s="2729"/>
      <c r="D47" s="2729"/>
      <c r="E47" s="2730"/>
      <c r="F47" s="887">
        <f>'Звіт   4,5,6'!H11/1000+'Звіт   9'!K93</f>
        <v>50956</v>
      </c>
      <c r="G47" s="902">
        <f t="shared" si="5"/>
        <v>75.599999999999994</v>
      </c>
      <c r="H47" s="1056"/>
      <c r="I47" s="1056"/>
      <c r="J47" s="1056"/>
      <c r="K47" s="1056"/>
      <c r="L47" s="1056"/>
      <c r="M47" s="1056"/>
      <c r="N47" s="1056"/>
      <c r="O47" s="1056"/>
      <c r="P47" s="1056"/>
      <c r="Q47" s="1056"/>
      <c r="R47" s="1056"/>
      <c r="S47" s="1056"/>
    </row>
    <row r="48" spans="1:19" x14ac:dyDescent="0.25">
      <c r="A48" s="1052" t="s">
        <v>1042</v>
      </c>
      <c r="B48" s="2734" t="s">
        <v>1043</v>
      </c>
      <c r="C48" s="2735"/>
      <c r="D48" s="2735"/>
      <c r="E48" s="2736"/>
      <c r="F48" s="887">
        <f>F47-F49</f>
        <v>0</v>
      </c>
      <c r="G48" s="902">
        <f t="shared" si="5"/>
        <v>0</v>
      </c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</row>
    <row r="49" spans="1:19" x14ac:dyDescent="0.25">
      <c r="A49" s="1052" t="s">
        <v>1044</v>
      </c>
      <c r="B49" s="2734" t="s">
        <v>1045</v>
      </c>
      <c r="C49" s="2735"/>
      <c r="D49" s="2735"/>
      <c r="E49" s="2736"/>
      <c r="F49" s="887">
        <f>'Звіт   4,5,6'!H12/1000+'Звіт   9'!K93</f>
        <v>50956</v>
      </c>
      <c r="G49" s="902">
        <f t="shared" si="5"/>
        <v>75.599999999999994</v>
      </c>
      <c r="H49" s="1056"/>
      <c r="I49" s="1056"/>
      <c r="J49" s="1056"/>
      <c r="K49" s="1056"/>
      <c r="L49" s="1056"/>
      <c r="M49" s="1056"/>
      <c r="N49" s="1056"/>
      <c r="O49" s="1056"/>
      <c r="P49" s="1056"/>
      <c r="Q49" s="1056"/>
      <c r="R49" s="1056"/>
      <c r="S49" s="1056"/>
    </row>
    <row r="50" spans="1:19" ht="47.25" customHeight="1" x14ac:dyDescent="0.25">
      <c r="A50" s="907" t="s">
        <v>1023</v>
      </c>
      <c r="B50" s="2737" t="s">
        <v>1384</v>
      </c>
      <c r="C50" s="2738"/>
      <c r="D50" s="2738"/>
      <c r="E50" s="2739"/>
      <c r="F50" s="887">
        <f>'Звіт   4,5,6'!H14/1000</f>
        <v>0</v>
      </c>
      <c r="G50" s="902">
        <f t="shared" si="5"/>
        <v>0</v>
      </c>
      <c r="H50" s="1056"/>
      <c r="I50" s="1056"/>
      <c r="J50" s="1056"/>
      <c r="K50" s="1056"/>
      <c r="L50" s="1056"/>
      <c r="M50" s="1056"/>
      <c r="N50" s="1056"/>
      <c r="O50" s="1056"/>
      <c r="P50" s="1056"/>
      <c r="Q50" s="1056"/>
      <c r="R50" s="1056"/>
      <c r="S50" s="1056"/>
    </row>
    <row r="51" spans="1:19" ht="18.75" customHeight="1" x14ac:dyDescent="0.25">
      <c r="A51" s="909" t="s">
        <v>89</v>
      </c>
      <c r="B51" s="2725" t="s">
        <v>1046</v>
      </c>
      <c r="C51" s="2726"/>
      <c r="D51" s="2726"/>
      <c r="E51" s="2727"/>
      <c r="F51" s="910">
        <f>'Звіт   4,5,6'!H16/1000</f>
        <v>16036.8</v>
      </c>
      <c r="G51" s="911">
        <f t="shared" si="5"/>
        <v>23.8</v>
      </c>
      <c r="H51" s="1056"/>
      <c r="I51" s="1056"/>
      <c r="J51" s="1056"/>
      <c r="K51" s="1056"/>
      <c r="L51" s="1056"/>
      <c r="M51" s="1056"/>
      <c r="N51" s="1056"/>
      <c r="O51" s="1056"/>
      <c r="P51" s="1056"/>
      <c r="Q51" s="1056"/>
      <c r="R51" s="1056"/>
      <c r="S51" s="1056"/>
    </row>
    <row r="52" spans="1:19" x14ac:dyDescent="0.25">
      <c r="A52" s="903" t="s">
        <v>1213</v>
      </c>
      <c r="B52" s="2719" t="s">
        <v>1048</v>
      </c>
      <c r="C52" s="2720"/>
      <c r="D52" s="2720"/>
      <c r="E52" s="2721"/>
      <c r="F52" s="898">
        <f>'Звіт   4,5,6'!H17/1000</f>
        <v>15748.6</v>
      </c>
      <c r="G52" s="902">
        <f t="shared" si="5"/>
        <v>23.4</v>
      </c>
      <c r="H52" s="1056"/>
      <c r="I52" s="1056"/>
      <c r="J52" s="1056"/>
      <c r="K52" s="1056"/>
      <c r="L52" s="1056"/>
      <c r="M52" s="1056"/>
      <c r="N52" s="1056"/>
      <c r="O52" s="1056"/>
      <c r="P52" s="1056"/>
      <c r="Q52" s="1056"/>
      <c r="R52" s="1056"/>
      <c r="S52" s="1056"/>
    </row>
    <row r="53" spans="1:19" ht="27.75" customHeight="1" x14ac:dyDescent="0.25">
      <c r="A53" s="904" t="s">
        <v>1214</v>
      </c>
      <c r="B53" s="2722" t="s">
        <v>1049</v>
      </c>
      <c r="C53" s="2723"/>
      <c r="D53" s="2723"/>
      <c r="E53" s="2724"/>
      <c r="F53" s="898">
        <f>('Звіт   4,5,6'!H20+'Звіт   4,5,6'!H21)/1000</f>
        <v>0</v>
      </c>
      <c r="G53" s="902">
        <f t="shared" si="5"/>
        <v>0</v>
      </c>
      <c r="H53" s="1056"/>
      <c r="I53" s="1056"/>
      <c r="J53" s="1056"/>
      <c r="K53" s="1056"/>
      <c r="L53" s="1056"/>
      <c r="M53" s="1056"/>
      <c r="N53" s="1056"/>
      <c r="O53" s="1056"/>
      <c r="P53" s="1056"/>
      <c r="Q53" s="1056"/>
      <c r="R53" s="1056"/>
      <c r="S53" s="1056"/>
    </row>
    <row r="54" spans="1:19" ht="24.75" customHeight="1" x14ac:dyDescent="0.25">
      <c r="A54" s="904" t="s">
        <v>1215</v>
      </c>
      <c r="B54" s="2719" t="s">
        <v>1050</v>
      </c>
      <c r="C54" s="2720"/>
      <c r="D54" s="2720"/>
      <c r="E54" s="2721"/>
      <c r="F54" s="898">
        <f>'Звіт   4,5,6'!H23/1000</f>
        <v>267</v>
      </c>
      <c r="G54" s="902">
        <f t="shared" si="5"/>
        <v>0.4</v>
      </c>
      <c r="H54" s="1056"/>
      <c r="I54" s="1056"/>
      <c r="J54" s="1056"/>
      <c r="K54" s="1056"/>
      <c r="L54" s="1056"/>
      <c r="M54" s="1056"/>
      <c r="N54" s="1056"/>
      <c r="O54" s="1056"/>
      <c r="P54" s="1056"/>
      <c r="Q54" s="1056"/>
      <c r="R54" s="1056"/>
      <c r="S54" s="1056"/>
    </row>
    <row r="55" spans="1:19" s="939" customFormat="1" ht="24.75" customHeight="1" x14ac:dyDescent="0.25">
      <c r="A55" s="904" t="s">
        <v>2074</v>
      </c>
      <c r="B55" s="1753"/>
      <c r="C55" s="1754"/>
      <c r="D55" s="1754"/>
      <c r="E55" s="1755"/>
      <c r="F55" s="1752"/>
      <c r="G55" s="902"/>
      <c r="H55" s="1056"/>
      <c r="I55" s="1056"/>
      <c r="J55" s="1056"/>
      <c r="K55" s="1056"/>
      <c r="L55" s="1056"/>
      <c r="M55" s="1056"/>
      <c r="N55" s="1056"/>
      <c r="O55" s="1056"/>
      <c r="P55" s="1056"/>
      <c r="Q55" s="1056"/>
      <c r="R55" s="1056"/>
      <c r="S55" s="1056"/>
    </row>
    <row r="56" spans="1:19" x14ac:dyDescent="0.25">
      <c r="A56" s="909" t="s">
        <v>90</v>
      </c>
      <c r="B56" s="2725" t="s">
        <v>1051</v>
      </c>
      <c r="C56" s="2726"/>
      <c r="D56" s="2726"/>
      <c r="E56" s="2727"/>
      <c r="F56" s="910">
        <f>'Звіт   4,5,6'!H26/1000</f>
        <v>366.6</v>
      </c>
      <c r="G56" s="911">
        <f t="shared" si="5"/>
        <v>0.5</v>
      </c>
      <c r="H56" s="1056"/>
      <c r="I56" s="1056"/>
      <c r="J56" s="1056"/>
      <c r="K56" s="1056"/>
      <c r="L56" s="1056"/>
      <c r="M56" s="1056"/>
      <c r="N56" s="1056"/>
      <c r="O56" s="1056"/>
      <c r="P56" s="1056"/>
      <c r="Q56" s="1056"/>
      <c r="R56" s="1056"/>
      <c r="S56" s="1056"/>
    </row>
    <row r="57" spans="1:19" x14ac:dyDescent="0.25">
      <c r="A57" s="904" t="s">
        <v>1047</v>
      </c>
      <c r="B57" s="2734" t="s">
        <v>1052</v>
      </c>
      <c r="C57" s="2735"/>
      <c r="D57" s="2735"/>
      <c r="E57" s="2736"/>
      <c r="F57" s="898">
        <f>('Звіт   4,5,6'!H27+'Звіт   4,5,6'!H28)/1000</f>
        <v>366.6</v>
      </c>
      <c r="G57" s="902">
        <f t="shared" si="5"/>
        <v>0.5</v>
      </c>
      <c r="H57" s="1056"/>
      <c r="I57" s="1056"/>
      <c r="J57" s="1056"/>
      <c r="K57" s="1056"/>
      <c r="L57" s="1056"/>
      <c r="M57" s="1056"/>
      <c r="N57" s="1056"/>
      <c r="O57" s="1056"/>
      <c r="P57" s="1056"/>
      <c r="Q57" s="1056"/>
      <c r="R57" s="1056"/>
      <c r="S57" s="1056"/>
    </row>
    <row r="58" spans="1:19" x14ac:dyDescent="0.25">
      <c r="A58" s="909" t="s">
        <v>1216</v>
      </c>
      <c r="B58" s="912" t="s">
        <v>1097</v>
      </c>
      <c r="C58" s="913"/>
      <c r="D58" s="913"/>
      <c r="E58" s="914"/>
      <c r="F58" s="910">
        <f>('Звіт 10, 11,12,13,14'!$G$88+'Звіт 10, 11,12,13,14'!I82)/1000</f>
        <v>0</v>
      </c>
      <c r="G58" s="915">
        <f t="shared" si="5"/>
        <v>0</v>
      </c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</row>
    <row r="59" spans="1:19" x14ac:dyDescent="0.25">
      <c r="A59" s="899">
        <v>2</v>
      </c>
      <c r="B59" s="2749" t="s">
        <v>1218</v>
      </c>
      <c r="C59" s="2749"/>
      <c r="D59" s="2749"/>
      <c r="E59" s="2749"/>
      <c r="F59" s="900">
        <f>SUM(F60:F68)</f>
        <v>62636.9</v>
      </c>
      <c r="G59" s="901">
        <f t="shared" si="5"/>
        <v>93</v>
      </c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</row>
    <row r="60" spans="1:19" x14ac:dyDescent="0.25">
      <c r="A60" s="1052" t="s">
        <v>1053</v>
      </c>
      <c r="B60" s="2712" t="s">
        <v>179</v>
      </c>
      <c r="C60" s="2712"/>
      <c r="D60" s="2712"/>
      <c r="E60" s="2712"/>
      <c r="F60" s="887">
        <f>'Звіт   4,5,6'!G102/1000</f>
        <v>18801.7</v>
      </c>
      <c r="G60" s="902">
        <f t="shared" si="5"/>
        <v>27.9</v>
      </c>
      <c r="H60" s="1056"/>
      <c r="I60" s="1056"/>
      <c r="J60" s="1056"/>
      <c r="K60" s="1056"/>
      <c r="L60" s="1056"/>
      <c r="M60" s="1056"/>
      <c r="N60" s="1056"/>
      <c r="O60" s="1056"/>
      <c r="P60" s="1056"/>
      <c r="Q60" s="1056"/>
      <c r="R60" s="1056"/>
      <c r="S60" s="1056"/>
    </row>
    <row r="61" spans="1:19" x14ac:dyDescent="0.25">
      <c r="A61" s="905" t="s">
        <v>1054</v>
      </c>
      <c r="B61" s="2712" t="s">
        <v>180</v>
      </c>
      <c r="C61" s="2712"/>
      <c r="D61" s="2712"/>
      <c r="E61" s="2712"/>
      <c r="F61" s="887">
        <f>'Звіт   4,5,6'!G103/1000</f>
        <v>33352.300000000003</v>
      </c>
      <c r="G61" s="902">
        <f t="shared" si="5"/>
        <v>49.5</v>
      </c>
      <c r="H61" s="1056"/>
      <c r="I61" s="1056"/>
      <c r="J61" s="1056"/>
      <c r="K61" s="1056"/>
      <c r="L61" s="1056"/>
      <c r="M61" s="1056"/>
      <c r="N61" s="1056"/>
      <c r="O61" s="1056"/>
      <c r="P61" s="1056"/>
      <c r="Q61" s="1056"/>
      <c r="R61" s="1056"/>
      <c r="S61" s="1056"/>
    </row>
    <row r="62" spans="1:19" x14ac:dyDescent="0.25">
      <c r="A62" s="1052" t="s">
        <v>1055</v>
      </c>
      <c r="B62" s="2712" t="s">
        <v>181</v>
      </c>
      <c r="C62" s="2712"/>
      <c r="D62" s="2712"/>
      <c r="E62" s="2712"/>
      <c r="F62" s="887">
        <f>'Звіт   4,5,6'!G104/1000</f>
        <v>7420.3</v>
      </c>
      <c r="G62" s="902">
        <f t="shared" si="5"/>
        <v>11</v>
      </c>
      <c r="H62" s="1056"/>
      <c r="I62" s="1056"/>
      <c r="J62" s="1056"/>
      <c r="K62" s="1056"/>
      <c r="L62" s="1056"/>
      <c r="M62" s="1056"/>
      <c r="N62" s="1056"/>
      <c r="O62" s="1056"/>
      <c r="P62" s="1056"/>
      <c r="Q62" s="1056"/>
      <c r="R62" s="1056"/>
      <c r="S62" s="1056"/>
    </row>
    <row r="63" spans="1:19" x14ac:dyDescent="0.25">
      <c r="A63" s="1052" t="s">
        <v>1056</v>
      </c>
      <c r="B63" s="2712" t="s">
        <v>34</v>
      </c>
      <c r="C63" s="2712"/>
      <c r="D63" s="2712"/>
      <c r="E63" s="2712"/>
      <c r="F63" s="887">
        <f>'Звіт   4,5,6'!G105/1000</f>
        <v>0</v>
      </c>
      <c r="G63" s="902">
        <f t="shared" si="5"/>
        <v>0</v>
      </c>
      <c r="H63" s="1056"/>
      <c r="I63" s="1056"/>
      <c r="J63" s="1056"/>
      <c r="K63" s="1056"/>
      <c r="L63" s="1056"/>
      <c r="M63" s="1056"/>
      <c r="N63" s="1056"/>
      <c r="O63" s="1056"/>
      <c r="P63" s="1056"/>
      <c r="Q63" s="1056"/>
      <c r="R63" s="1056"/>
      <c r="S63" s="1056"/>
    </row>
    <row r="64" spans="1:19" x14ac:dyDescent="0.25">
      <c r="A64" s="1052" t="s">
        <v>1057</v>
      </c>
      <c r="B64" s="2712" t="s">
        <v>182</v>
      </c>
      <c r="C64" s="2712"/>
      <c r="D64" s="2712"/>
      <c r="E64" s="2712"/>
      <c r="F64" s="887">
        <f>'Звіт   4,5,6'!G106/1000</f>
        <v>407.6</v>
      </c>
      <c r="G64" s="902">
        <f t="shared" si="5"/>
        <v>0.6</v>
      </c>
      <c r="H64" s="1056"/>
      <c r="I64" s="1056"/>
      <c r="J64" s="1056"/>
      <c r="K64" s="1056"/>
      <c r="L64" s="1056"/>
      <c r="M64" s="1056"/>
      <c r="N64" s="1056"/>
      <c r="O64" s="1056"/>
      <c r="P64" s="1056"/>
      <c r="Q64" s="1056"/>
      <c r="R64" s="1056"/>
      <c r="S64" s="1056"/>
    </row>
    <row r="65" spans="1:19" x14ac:dyDescent="0.25">
      <c r="A65" s="1052" t="s">
        <v>1058</v>
      </c>
      <c r="B65" s="2716" t="s">
        <v>186</v>
      </c>
      <c r="C65" s="2717"/>
      <c r="D65" s="2717"/>
      <c r="E65" s="2718"/>
      <c r="F65" s="887">
        <f>'Звіт   4,5,6'!G107/1000</f>
        <v>2655</v>
      </c>
      <c r="G65" s="902">
        <f t="shared" si="5"/>
        <v>3.9</v>
      </c>
      <c r="H65" s="1056"/>
      <c r="I65" s="1056"/>
      <c r="J65" s="1056"/>
      <c r="K65" s="1056"/>
      <c r="L65" s="1056"/>
      <c r="M65" s="1056"/>
      <c r="N65" s="1056"/>
      <c r="O65" s="1056"/>
      <c r="P65" s="1056"/>
      <c r="Q65" s="1056"/>
      <c r="R65" s="1056"/>
      <c r="S65" s="1056"/>
    </row>
    <row r="66" spans="1:19" x14ac:dyDescent="0.25">
      <c r="A66" s="1052" t="s">
        <v>1059</v>
      </c>
      <c r="B66" s="2716" t="s">
        <v>928</v>
      </c>
      <c r="C66" s="2717"/>
      <c r="D66" s="2717"/>
      <c r="E66" s="2718"/>
      <c r="F66" s="887">
        <f>'Звіт   4,5,6'!H34/1000</f>
        <v>0</v>
      </c>
      <c r="G66" s="902">
        <f t="shared" si="5"/>
        <v>0</v>
      </c>
      <c r="H66" s="1056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6"/>
    </row>
    <row r="67" spans="1:19" x14ac:dyDescent="0.25">
      <c r="A67" s="1052" t="s">
        <v>1060</v>
      </c>
      <c r="B67" s="2716" t="s">
        <v>929</v>
      </c>
      <c r="C67" s="2717"/>
      <c r="D67" s="2717"/>
      <c r="E67" s="2718"/>
      <c r="F67" s="887">
        <f>'Звіт   4,5,6'!H35/1000</f>
        <v>0</v>
      </c>
      <c r="G67" s="902">
        <f t="shared" si="5"/>
        <v>0</v>
      </c>
      <c r="H67" s="1056"/>
      <c r="I67" s="1056"/>
      <c r="J67" s="1056"/>
      <c r="K67" s="1056"/>
      <c r="L67" s="1056"/>
      <c r="M67" s="1056"/>
      <c r="N67" s="1056"/>
      <c r="O67" s="1056"/>
      <c r="P67" s="1056"/>
      <c r="Q67" s="1056"/>
      <c r="R67" s="1056"/>
      <c r="S67" s="1056"/>
    </row>
    <row r="68" spans="1:19" x14ac:dyDescent="0.25">
      <c r="A68" s="1052" t="s">
        <v>1061</v>
      </c>
      <c r="B68" s="2712" t="s">
        <v>45</v>
      </c>
      <c r="C68" s="2712"/>
      <c r="D68" s="2712"/>
      <c r="E68" s="2712"/>
      <c r="F68" s="887">
        <f>'Звіт   4,5,6'!E96/1000</f>
        <v>0</v>
      </c>
      <c r="G68" s="902">
        <f t="shared" si="5"/>
        <v>0</v>
      </c>
      <c r="H68" s="1056"/>
      <c r="I68" s="1056"/>
      <c r="J68" s="1056"/>
      <c r="K68" s="1056"/>
      <c r="L68" s="1056"/>
      <c r="M68" s="1056"/>
      <c r="N68" s="1056"/>
      <c r="O68" s="1056"/>
      <c r="P68" s="1056"/>
      <c r="Q68" s="1056"/>
      <c r="R68" s="1056"/>
      <c r="S68" s="1056"/>
    </row>
    <row r="69" spans="1:19" x14ac:dyDescent="0.25">
      <c r="A69" s="899">
        <v>3</v>
      </c>
      <c r="B69" s="2713" t="s">
        <v>1382</v>
      </c>
      <c r="C69" s="2713"/>
      <c r="D69" s="2713"/>
      <c r="E69" s="2713"/>
      <c r="F69" s="900">
        <f>F44-F59</f>
        <v>4722.5</v>
      </c>
      <c r="G69" s="901">
        <f t="shared" si="5"/>
        <v>7</v>
      </c>
      <c r="H69" s="1056"/>
      <c r="I69" s="1056"/>
      <c r="J69" s="1056"/>
      <c r="K69" s="1056"/>
      <c r="L69" s="1056"/>
      <c r="M69" s="1056"/>
      <c r="N69" s="1056"/>
      <c r="O69" s="1056"/>
      <c r="P69" s="1056"/>
      <c r="Q69" s="1056"/>
      <c r="R69" s="1056"/>
      <c r="S69" s="1056"/>
    </row>
    <row r="70" spans="1:19" ht="21.75" customHeight="1" x14ac:dyDescent="0.25">
      <c r="A70" s="487"/>
      <c r="B70" s="488"/>
      <c r="C70" s="487"/>
      <c r="D70" s="490"/>
      <c r="E70" s="490"/>
      <c r="F70" s="489"/>
      <c r="G70" s="489"/>
      <c r="H70" s="1056"/>
      <c r="I70" s="1056"/>
      <c r="J70" s="1056"/>
      <c r="K70" s="1056"/>
      <c r="L70" s="1056"/>
      <c r="M70" s="1056"/>
      <c r="N70" s="1056"/>
      <c r="O70" s="1056"/>
      <c r="P70" s="1056"/>
      <c r="Q70" s="1056"/>
      <c r="R70" s="1056"/>
      <c r="S70" s="1056"/>
    </row>
    <row r="71" spans="1:19" x14ac:dyDescent="0.25">
      <c r="A71" s="479" t="s">
        <v>1225</v>
      </c>
      <c r="B71" s="488"/>
      <c r="C71" s="487"/>
      <c r="D71" s="490"/>
      <c r="E71" s="490"/>
      <c r="F71" s="489"/>
      <c r="G71" s="489"/>
      <c r="H71" s="1056"/>
      <c r="I71" s="1056"/>
      <c r="J71" s="1056"/>
      <c r="K71" s="1056"/>
      <c r="L71" s="1056"/>
      <c r="M71" s="1056"/>
      <c r="N71" s="1056"/>
      <c r="O71" s="1056"/>
      <c r="P71" s="1056"/>
      <c r="Q71" s="1056"/>
      <c r="R71" s="1056"/>
      <c r="S71" s="1056"/>
    </row>
    <row r="72" spans="1:19" ht="15.75" thickBot="1" x14ac:dyDescent="0.3">
      <c r="A72" s="490"/>
      <c r="B72" s="490"/>
      <c r="C72" s="487"/>
      <c r="D72" s="490"/>
      <c r="E72" s="490"/>
      <c r="F72" s="487"/>
      <c r="G72" s="489"/>
      <c r="H72" s="1056"/>
      <c r="I72" s="1056"/>
      <c r="J72" s="1056"/>
      <c r="K72" s="1056"/>
      <c r="L72" s="1056"/>
      <c r="M72" s="1056"/>
      <c r="N72" s="1056"/>
      <c r="O72" s="1056"/>
      <c r="P72" s="1056"/>
      <c r="Q72" s="1056"/>
      <c r="R72" s="1056"/>
      <c r="S72" s="1056"/>
    </row>
    <row r="73" spans="1:19" ht="55.5" customHeight="1" x14ac:dyDescent="0.25">
      <c r="A73" s="2761"/>
      <c r="B73" s="2762"/>
      <c r="C73" s="2762"/>
      <c r="D73" s="2762"/>
      <c r="E73" s="1061" t="s">
        <v>1101</v>
      </c>
      <c r="F73" s="1053" t="s">
        <v>1102</v>
      </c>
      <c r="G73" s="1053" t="s">
        <v>1103</v>
      </c>
      <c r="H73" s="1061" t="s">
        <v>1104</v>
      </c>
      <c r="I73" s="1061" t="s">
        <v>1413</v>
      </c>
      <c r="J73" s="1062" t="s">
        <v>1105</v>
      </c>
      <c r="K73" s="1063" t="s">
        <v>1106</v>
      </c>
      <c r="L73" s="1056"/>
      <c r="M73" s="1056"/>
      <c r="N73" s="1056"/>
      <c r="O73" s="1056"/>
      <c r="P73" s="1056"/>
      <c r="Q73" s="1056"/>
      <c r="R73" s="1056"/>
      <c r="S73" s="1056"/>
    </row>
    <row r="74" spans="1:19" ht="13.5" customHeight="1" x14ac:dyDescent="0.25">
      <c r="A74" s="2740" t="s">
        <v>1107</v>
      </c>
      <c r="B74" s="2712"/>
      <c r="C74" s="2712"/>
      <c r="D74" s="2712"/>
      <c r="E74" s="887">
        <f>'Звіт   9'!H30</f>
        <v>28613.1</v>
      </c>
      <c r="F74" s="887">
        <f>'Звіт 1,2,3'!G29/1000</f>
        <v>16485.400000000001</v>
      </c>
      <c r="G74" s="887">
        <f>'Звіт 10, 11,12,13,14'!R27/1000</f>
        <v>14164.7</v>
      </c>
      <c r="H74" s="887">
        <f>'Звіт   9'!K30</f>
        <v>30933.8</v>
      </c>
      <c r="I74" s="887">
        <f>G74/6</f>
        <v>2360.8000000000002</v>
      </c>
      <c r="J74" s="1064">
        <f>H74/I74</f>
        <v>13.1</v>
      </c>
      <c r="K74" s="1065">
        <f>E74-H74+F74</f>
        <v>14164.7</v>
      </c>
      <c r="L74" s="1056"/>
      <c r="M74" s="1056"/>
      <c r="N74" s="1056"/>
      <c r="O74" s="1056"/>
      <c r="P74" s="1056"/>
      <c r="Q74" s="1056"/>
      <c r="R74" s="1056"/>
      <c r="S74" s="1056"/>
    </row>
    <row r="75" spans="1:19" x14ac:dyDescent="0.25">
      <c r="A75" s="2740" t="s">
        <v>1108</v>
      </c>
      <c r="B75" s="2712"/>
      <c r="C75" s="2712"/>
      <c r="D75" s="2712"/>
      <c r="E75" s="2741">
        <f>E76+F76</f>
        <v>100</v>
      </c>
      <c r="F75" s="2741"/>
      <c r="G75" s="2742">
        <f>G74*100/(E74+F74)</f>
        <v>31.4</v>
      </c>
      <c r="H75" s="887">
        <f>H74*100/(E74+F74)</f>
        <v>68.599999999999994</v>
      </c>
      <c r="I75" s="900"/>
      <c r="J75" s="1066"/>
      <c r="K75" s="1067"/>
      <c r="L75" s="1056"/>
      <c r="M75" s="1056"/>
      <c r="N75" s="1056"/>
      <c r="O75" s="1056"/>
      <c r="P75" s="1056"/>
      <c r="Q75" s="1056"/>
      <c r="R75" s="1056"/>
      <c r="S75" s="1056"/>
    </row>
    <row r="76" spans="1:19" ht="15.75" thickBot="1" x14ac:dyDescent="0.3">
      <c r="A76" s="2744" t="s">
        <v>1109</v>
      </c>
      <c r="B76" s="2745"/>
      <c r="C76" s="2745"/>
      <c r="D76" s="2745"/>
      <c r="E76" s="890">
        <f>E74*100/(E74+F74)</f>
        <v>63.4</v>
      </c>
      <c r="F76" s="890">
        <f>F74*100/(E74+F74)</f>
        <v>36.6</v>
      </c>
      <c r="G76" s="2743"/>
      <c r="H76" s="1068"/>
      <c r="I76" s="1069"/>
      <c r="J76" s="1070"/>
      <c r="K76" s="1067"/>
      <c r="L76" s="1056"/>
      <c r="M76" s="1056"/>
      <c r="N76" s="1056"/>
      <c r="O76" s="1056"/>
      <c r="P76" s="1056"/>
      <c r="Q76" s="1056"/>
      <c r="R76" s="1056"/>
      <c r="S76" s="1056"/>
    </row>
    <row r="77" spans="1:19" x14ac:dyDescent="0.25">
      <c r="A77" s="1056"/>
      <c r="B77" s="1056"/>
      <c r="C77" s="1056"/>
      <c r="D77" s="1056"/>
      <c r="E77" s="1056"/>
      <c r="F77" s="1056"/>
      <c r="G77" s="1056"/>
      <c r="H77" s="1056"/>
      <c r="I77" s="1056"/>
      <c r="J77" s="1056"/>
      <c r="K77" s="1056"/>
      <c r="L77" s="1056"/>
      <c r="M77" s="1056"/>
      <c r="N77" s="1056"/>
      <c r="O77" s="1056"/>
      <c r="P77" s="1056"/>
      <c r="Q77" s="1056"/>
      <c r="R77" s="1056"/>
      <c r="S77" s="1056"/>
    </row>
    <row r="78" spans="1:19" x14ac:dyDescent="0.25">
      <c r="A78" s="1056"/>
      <c r="B78" s="1056"/>
      <c r="C78" s="1056"/>
      <c r="D78" s="1056"/>
      <c r="E78" s="1056"/>
      <c r="F78" s="1056"/>
      <c r="G78" s="1056"/>
      <c r="H78" s="1056"/>
      <c r="I78" s="1056"/>
      <c r="J78" s="1056"/>
      <c r="K78" s="1056"/>
      <c r="L78" s="1056"/>
      <c r="M78" s="1056"/>
      <c r="N78" s="1056"/>
      <c r="O78" s="1056"/>
      <c r="P78" s="1056"/>
      <c r="Q78" s="1056"/>
      <c r="R78" s="1056"/>
      <c r="S78" s="1056"/>
    </row>
    <row r="79" spans="1:19" x14ac:dyDescent="0.25">
      <c r="A79" s="1056"/>
      <c r="B79" s="1056"/>
      <c r="C79" s="1056"/>
      <c r="D79" s="1056"/>
      <c r="E79" s="1056"/>
      <c r="F79" s="1056"/>
      <c r="G79" s="1056"/>
      <c r="H79" s="1056"/>
      <c r="I79" s="1056"/>
      <c r="J79" s="1056"/>
      <c r="K79" s="1056"/>
      <c r="L79" s="1056"/>
      <c r="M79" s="1056"/>
      <c r="N79" s="1056"/>
      <c r="O79" s="1056"/>
      <c r="P79" s="1056"/>
      <c r="Q79" s="1056"/>
      <c r="R79" s="1056"/>
      <c r="S79" s="1056"/>
    </row>
    <row r="80" spans="1:19" x14ac:dyDescent="0.25">
      <c r="A80" s="1056"/>
      <c r="B80" s="1056"/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</row>
    <row r="81" spans="1:19" x14ac:dyDescent="0.25">
      <c r="A81" s="1056"/>
      <c r="B81" s="1056"/>
      <c r="C81" s="1056"/>
      <c r="D81" s="1056"/>
      <c r="E81" s="1056"/>
      <c r="F81" s="1056"/>
      <c r="G81" s="1056"/>
      <c r="H81" s="1056"/>
      <c r="I81" s="1056"/>
      <c r="J81" s="1056"/>
      <c r="K81" s="1056"/>
      <c r="L81" s="1056"/>
      <c r="M81" s="1056"/>
      <c r="N81" s="1056"/>
      <c r="O81" s="1056"/>
      <c r="P81" s="1056"/>
      <c r="Q81" s="1056"/>
      <c r="R81" s="1056"/>
      <c r="S81" s="1056"/>
    </row>
    <row r="82" spans="1:19" x14ac:dyDescent="0.25">
      <c r="A82" s="1056"/>
      <c r="B82" s="1056"/>
      <c r="C82" s="1056"/>
      <c r="D82" s="1056"/>
      <c r="E82" s="1056"/>
      <c r="F82" s="1056"/>
      <c r="G82" s="1056"/>
      <c r="H82" s="1056"/>
      <c r="I82" s="1056"/>
      <c r="J82" s="1056"/>
      <c r="K82" s="1056"/>
      <c r="L82" s="1056"/>
      <c r="M82" s="1056"/>
      <c r="N82" s="1056"/>
      <c r="O82" s="1056"/>
      <c r="P82" s="1056"/>
      <c r="Q82" s="1056"/>
      <c r="R82" s="1056"/>
      <c r="S82" s="1056"/>
    </row>
    <row r="83" spans="1:19" x14ac:dyDescent="0.25">
      <c r="A83" s="1056"/>
      <c r="B83" s="1056"/>
      <c r="C83" s="1056"/>
      <c r="D83" s="1056"/>
      <c r="E83" s="1056"/>
      <c r="F83" s="1056"/>
      <c r="G83" s="1056"/>
      <c r="H83" s="1056"/>
      <c r="I83" s="1056"/>
      <c r="J83" s="1056"/>
      <c r="K83" s="1056"/>
      <c r="L83" s="1056"/>
      <c r="M83" s="1056"/>
      <c r="N83" s="1056"/>
      <c r="O83" s="1056"/>
      <c r="P83" s="1056"/>
      <c r="Q83" s="1056"/>
      <c r="R83" s="1056"/>
      <c r="S83" s="1056"/>
    </row>
    <row r="84" spans="1:19" x14ac:dyDescent="0.25">
      <c r="A84" s="1056"/>
      <c r="B84" s="1056"/>
      <c r="C84" s="1056"/>
      <c r="D84" s="1056"/>
      <c r="E84" s="1056"/>
      <c r="F84" s="1056"/>
      <c r="G84" s="1056"/>
      <c r="H84" s="1056"/>
      <c r="I84" s="1056"/>
      <c r="J84" s="1056"/>
      <c r="K84" s="1056"/>
      <c r="L84" s="1056"/>
      <c r="M84" s="1056"/>
      <c r="N84" s="1056"/>
      <c r="O84" s="1056"/>
      <c r="P84" s="1056"/>
      <c r="Q84" s="1056"/>
      <c r="R84" s="1056"/>
      <c r="S84" s="1056"/>
    </row>
    <row r="85" spans="1:19" x14ac:dyDescent="0.25">
      <c r="A85" s="1056"/>
      <c r="B85" s="1056"/>
      <c r="C85" s="1056"/>
      <c r="D85" s="1056"/>
      <c r="E85" s="1056"/>
      <c r="F85" s="1056"/>
      <c r="G85" s="1056"/>
      <c r="H85" s="1056"/>
      <c r="I85" s="1056"/>
      <c r="J85" s="1056"/>
      <c r="K85" s="1056"/>
      <c r="L85" s="1056"/>
      <c r="M85" s="1056"/>
      <c r="N85" s="1056"/>
      <c r="O85" s="1056"/>
      <c r="P85" s="1056"/>
      <c r="Q85" s="1056"/>
      <c r="R85" s="1056"/>
      <c r="S85" s="1056"/>
    </row>
    <row r="86" spans="1:19" x14ac:dyDescent="0.25">
      <c r="A86" s="1056"/>
      <c r="B86" s="1056"/>
      <c r="C86" s="1056"/>
      <c r="D86" s="1056"/>
      <c r="E86" s="1056"/>
      <c r="F86" s="1056"/>
      <c r="G86" s="1056"/>
      <c r="H86" s="1056"/>
      <c r="I86" s="1056"/>
      <c r="J86" s="1056"/>
      <c r="K86" s="1056"/>
      <c r="L86" s="1056"/>
      <c r="M86" s="1056"/>
      <c r="N86" s="1056"/>
      <c r="O86" s="1056"/>
      <c r="P86" s="1056"/>
      <c r="Q86" s="1056"/>
      <c r="R86" s="1056"/>
      <c r="S86" s="1056"/>
    </row>
    <row r="87" spans="1:19" x14ac:dyDescent="0.25">
      <c r="A87" s="1056"/>
      <c r="B87" s="1056"/>
      <c r="C87" s="1056"/>
      <c r="D87" s="1056"/>
      <c r="E87" s="1056"/>
      <c r="F87" s="1056"/>
      <c r="G87" s="1056"/>
      <c r="H87" s="1056"/>
      <c r="I87" s="1056"/>
      <c r="J87" s="1056"/>
      <c r="K87" s="1056"/>
      <c r="L87" s="1056"/>
      <c r="M87" s="1056"/>
      <c r="N87" s="1056"/>
      <c r="O87" s="1056"/>
      <c r="P87" s="1056"/>
      <c r="Q87" s="1056"/>
      <c r="R87" s="1056"/>
      <c r="S87" s="1056"/>
    </row>
    <row r="88" spans="1:19" x14ac:dyDescent="0.25">
      <c r="A88" s="1056"/>
      <c r="B88" s="1056"/>
      <c r="C88" s="1056"/>
      <c r="D88" s="1056"/>
      <c r="E88" s="1056"/>
      <c r="F88" s="1056"/>
      <c r="G88" s="1056"/>
      <c r="H88" s="1056"/>
      <c r="I88" s="1056"/>
      <c r="J88" s="1056"/>
      <c r="K88" s="1056"/>
      <c r="L88" s="1056"/>
      <c r="M88" s="1056"/>
      <c r="N88" s="1056"/>
      <c r="O88" s="1056"/>
      <c r="P88" s="1056"/>
      <c r="Q88" s="1056"/>
      <c r="R88" s="1056"/>
      <c r="S88" s="1056"/>
    </row>
    <row r="89" spans="1:19" x14ac:dyDescent="0.25">
      <c r="A89" s="1056"/>
      <c r="B89" s="1056"/>
      <c r="C89" s="1056"/>
      <c r="D89" s="1056"/>
      <c r="E89" s="1056"/>
      <c r="F89" s="1056"/>
      <c r="G89" s="1056"/>
      <c r="H89" s="1056"/>
      <c r="I89" s="1056"/>
      <c r="J89" s="1056"/>
      <c r="K89" s="1056"/>
      <c r="L89" s="1056"/>
      <c r="M89" s="1056"/>
      <c r="N89" s="1056"/>
      <c r="O89" s="1056"/>
      <c r="P89" s="1056"/>
      <c r="Q89" s="1056"/>
      <c r="R89" s="1056"/>
      <c r="S89" s="1056"/>
    </row>
    <row r="90" spans="1:19" x14ac:dyDescent="0.25">
      <c r="A90" s="1056"/>
      <c r="B90" s="1056"/>
      <c r="C90" s="1056"/>
      <c r="D90" s="1056"/>
      <c r="E90" s="1056"/>
      <c r="F90" s="1056"/>
      <c r="G90" s="1056"/>
      <c r="H90" s="1056"/>
      <c r="I90" s="1056"/>
      <c r="J90" s="1056"/>
      <c r="K90" s="1056"/>
      <c r="L90" s="1056"/>
      <c r="M90" s="1056"/>
      <c r="N90" s="1056"/>
      <c r="O90" s="1056"/>
      <c r="P90" s="1056"/>
      <c r="Q90" s="1056"/>
      <c r="R90" s="1056"/>
      <c r="S90" s="1056"/>
    </row>
  </sheetData>
  <sheetProtection password="F86B" sheet="1"/>
  <mergeCells count="97">
    <mergeCell ref="K36:P36"/>
    <mergeCell ref="H36:J36"/>
    <mergeCell ref="K35:P35"/>
    <mergeCell ref="I38:J38"/>
    <mergeCell ref="I39:J39"/>
    <mergeCell ref="H35:J35"/>
    <mergeCell ref="I37:J37"/>
    <mergeCell ref="H22:J22"/>
    <mergeCell ref="K22:P22"/>
    <mergeCell ref="I19:J21"/>
    <mergeCell ref="K19:P19"/>
    <mergeCell ref="K20:L20"/>
    <mergeCell ref="M20:N20"/>
    <mergeCell ref="O20:P20"/>
    <mergeCell ref="H19:H21"/>
    <mergeCell ref="K33:P33"/>
    <mergeCell ref="H34:J34"/>
    <mergeCell ref="K34:P34"/>
    <mergeCell ref="I24:J24"/>
    <mergeCell ref="I23:J23"/>
    <mergeCell ref="I25:J25"/>
    <mergeCell ref="I31:J31"/>
    <mergeCell ref="I32:J32"/>
    <mergeCell ref="I26:J26"/>
    <mergeCell ref="I27:J27"/>
    <mergeCell ref="I28:J28"/>
    <mergeCell ref="I29:J29"/>
    <mergeCell ref="I30:J30"/>
    <mergeCell ref="H33:J33"/>
    <mergeCell ref="A1:G1"/>
    <mergeCell ref="A3:G3"/>
    <mergeCell ref="A4:A5"/>
    <mergeCell ref="B4:B5"/>
    <mergeCell ref="B10:E10"/>
    <mergeCell ref="C4:I4"/>
    <mergeCell ref="B12:E12"/>
    <mergeCell ref="B13:E13"/>
    <mergeCell ref="B14:E14"/>
    <mergeCell ref="B15:E15"/>
    <mergeCell ref="A73:D73"/>
    <mergeCell ref="B17:E17"/>
    <mergeCell ref="B23:E23"/>
    <mergeCell ref="B40:E40"/>
    <mergeCell ref="B24:E24"/>
    <mergeCell ref="B25:E25"/>
    <mergeCell ref="B35:E35"/>
    <mergeCell ref="B36:E36"/>
    <mergeCell ref="B37:E37"/>
    <mergeCell ref="B38:E38"/>
    <mergeCell ref="B16:E16"/>
    <mergeCell ref="A19:G19"/>
    <mergeCell ref="A20:G20"/>
    <mergeCell ref="B21:E21"/>
    <mergeCell ref="B22:E22"/>
    <mergeCell ref="B34:E34"/>
    <mergeCell ref="B26:E26"/>
    <mergeCell ref="B27:E27"/>
    <mergeCell ref="B28:E28"/>
    <mergeCell ref="B32:E32"/>
    <mergeCell ref="B33:E33"/>
    <mergeCell ref="A74:D74"/>
    <mergeCell ref="B39:E39"/>
    <mergeCell ref="A41:G41"/>
    <mergeCell ref="A42:G42"/>
    <mergeCell ref="B43:E43"/>
    <mergeCell ref="A75:D75"/>
    <mergeCell ref="E75:F75"/>
    <mergeCell ref="G75:G76"/>
    <mergeCell ref="A76:D76"/>
    <mergeCell ref="B46:E46"/>
    <mergeCell ref="B63:E63"/>
    <mergeCell ref="B57:E57"/>
    <mergeCell ref="B59:E59"/>
    <mergeCell ref="B62:E62"/>
    <mergeCell ref="B51:E51"/>
    <mergeCell ref="B44:E44"/>
    <mergeCell ref="B47:E47"/>
    <mergeCell ref="B45:E45"/>
    <mergeCell ref="B48:E48"/>
    <mergeCell ref="B49:E49"/>
    <mergeCell ref="B50:E50"/>
    <mergeCell ref="B66:E66"/>
    <mergeCell ref="B67:E67"/>
    <mergeCell ref="B52:E52"/>
    <mergeCell ref="B53:E53"/>
    <mergeCell ref="B54:E54"/>
    <mergeCell ref="B56:E56"/>
    <mergeCell ref="B68:E68"/>
    <mergeCell ref="B69:E69"/>
    <mergeCell ref="B11:E11"/>
    <mergeCell ref="B29:E29"/>
    <mergeCell ref="B30:E30"/>
    <mergeCell ref="B31:E31"/>
    <mergeCell ref="B60:E60"/>
    <mergeCell ref="B61:E61"/>
    <mergeCell ref="B64:E64"/>
    <mergeCell ref="B65:E65"/>
  </mergeCells>
  <conditionalFormatting sqref="K22">
    <cfRule type="cellIs" dxfId="9" priority="1" operator="lessThan">
      <formula>0</formula>
    </cfRule>
  </conditionalFormatting>
  <conditionalFormatting sqref="H32:I32 H22:H31">
    <cfRule type="cellIs" dxfId="8" priority="5" operator="lessThan">
      <formula>0</formula>
    </cfRule>
  </conditionalFormatting>
  <conditionalFormatting sqref="K23:P23">
    <cfRule type="cellIs" dxfId="7" priority="2" operator="lessThan">
      <formula>0</formula>
    </cfRule>
  </conditionalFormatting>
  <conditionalFormatting sqref="K22 I23 K33:K36 H37:I39 K24:P32 H33:H36 K37:P39">
    <cfRule type="cellIs" dxfId="6" priority="4" operator="lessThan">
      <formula>0</formula>
    </cfRule>
  </conditionalFormatting>
  <conditionalFormatting sqref="I24:I31">
    <cfRule type="cellIs" dxfId="5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0">
    <tabColor rgb="FF92D050"/>
  </sheetPr>
  <dimension ref="A1:X8"/>
  <sheetViews>
    <sheetView zoomScale="90" zoomScaleNormal="90" workbookViewId="0">
      <selection activeCell="Q32" sqref="Q32"/>
    </sheetView>
  </sheetViews>
  <sheetFormatPr defaultRowHeight="15" x14ac:dyDescent="0.25"/>
  <cols>
    <col min="1" max="1" width="16" customWidth="1"/>
    <col min="2" max="3" width="12" customWidth="1"/>
    <col min="4" max="4" width="14.5703125" customWidth="1"/>
    <col min="5" max="5" width="13.28515625" customWidth="1"/>
    <col min="6" max="8" width="12" customWidth="1"/>
    <col min="9" max="9" width="12.28515625" customWidth="1"/>
    <col min="10" max="10" width="12.7109375" customWidth="1"/>
    <col min="13" max="13" width="13.7109375" customWidth="1"/>
    <col min="14" max="14" width="12.5703125" customWidth="1"/>
    <col min="17" max="24" width="16.7109375" customWidth="1"/>
  </cols>
  <sheetData>
    <row r="1" spans="1:24" ht="27.75" customHeight="1" x14ac:dyDescent="0.25">
      <c r="A1" s="2794" t="s">
        <v>1115</v>
      </c>
      <c r="B1" s="2794"/>
      <c r="C1" s="2794"/>
      <c r="D1" s="2794"/>
      <c r="E1" s="2794"/>
      <c r="F1" s="2794"/>
      <c r="G1" s="2794"/>
      <c r="H1" s="2794"/>
      <c r="I1" s="2794"/>
      <c r="J1" s="2794"/>
      <c r="K1" s="2794"/>
      <c r="L1" s="2794"/>
      <c r="M1" s="2794"/>
      <c r="N1" s="2794"/>
      <c r="O1" s="2794"/>
      <c r="P1" s="2794"/>
      <c r="Q1" s="2790" t="s">
        <v>1189</v>
      </c>
      <c r="R1" s="2790"/>
      <c r="S1" s="2790"/>
      <c r="T1" s="2790"/>
      <c r="U1" s="2790"/>
      <c r="V1" s="2790"/>
      <c r="W1" s="2790"/>
      <c r="X1" s="2790"/>
    </row>
    <row r="2" spans="1:24" s="939" customFormat="1" ht="27.75" customHeight="1" x14ac:dyDescent="0.25">
      <c r="A2" s="2791" t="s">
        <v>86</v>
      </c>
      <c r="B2" s="2791"/>
      <c r="C2" s="2791"/>
      <c r="D2" s="2791"/>
      <c r="E2" s="2791"/>
      <c r="F2" s="2791"/>
      <c r="G2" s="2791"/>
      <c r="H2" s="2792"/>
      <c r="I2" s="2793" t="s">
        <v>8</v>
      </c>
      <c r="J2" s="2793"/>
      <c r="K2" s="2793"/>
      <c r="L2" s="2793"/>
      <c r="M2" s="2793"/>
      <c r="N2" s="2793"/>
      <c r="O2" s="2793"/>
      <c r="P2" s="2793"/>
      <c r="Q2" s="2186" t="s">
        <v>86</v>
      </c>
      <c r="R2" s="2186"/>
      <c r="S2" s="2186"/>
      <c r="T2" s="2186"/>
      <c r="U2" s="2186" t="s">
        <v>8</v>
      </c>
      <c r="V2" s="2186"/>
      <c r="W2" s="2186"/>
      <c r="X2" s="2186"/>
    </row>
    <row r="3" spans="1:24" ht="63" customHeight="1" x14ac:dyDescent="0.25">
      <c r="A3" s="1246" t="s">
        <v>1116</v>
      </c>
      <c r="B3" s="1170" t="s">
        <v>1117</v>
      </c>
      <c r="C3" s="1170" t="s">
        <v>1118</v>
      </c>
      <c r="D3" s="1170" t="s">
        <v>1119</v>
      </c>
      <c r="E3" s="1247" t="s">
        <v>1123</v>
      </c>
      <c r="F3" s="1170" t="s">
        <v>1120</v>
      </c>
      <c r="G3" s="1170" t="s">
        <v>1121</v>
      </c>
      <c r="H3" s="527" t="s">
        <v>1122</v>
      </c>
      <c r="I3" s="1246" t="s">
        <v>1116</v>
      </c>
      <c r="J3" s="1170" t="s">
        <v>1117</v>
      </c>
      <c r="K3" s="1170" t="s">
        <v>1118</v>
      </c>
      <c r="L3" s="1170" t="s">
        <v>1119</v>
      </c>
      <c r="M3" s="1247" t="s">
        <v>1123</v>
      </c>
      <c r="N3" s="1246" t="s">
        <v>1120</v>
      </c>
      <c r="O3" s="1170" t="s">
        <v>1121</v>
      </c>
      <c r="P3" s="1170" t="s">
        <v>1122</v>
      </c>
      <c r="Q3" s="526" t="s">
        <v>1186</v>
      </c>
      <c r="R3" s="526" t="s">
        <v>1188</v>
      </c>
      <c r="S3" s="526" t="s">
        <v>1187</v>
      </c>
      <c r="T3" s="526" t="s">
        <v>1188</v>
      </c>
      <c r="U3" s="526" t="str">
        <f>Q3</f>
        <v>Придбання та оприбуткування, грн.</v>
      </c>
      <c r="V3" s="526" t="str">
        <f>R3</f>
        <v>Дози, одиниць</v>
      </c>
      <c r="W3" s="526" t="str">
        <f>S3</f>
        <v>Витрати, грн.</v>
      </c>
      <c r="X3" s="526" t="str">
        <f>T3</f>
        <v>Дози, одиниць</v>
      </c>
    </row>
    <row r="4" spans="1:24" ht="33" customHeight="1" x14ac:dyDescent="0.25">
      <c r="A4" s="1244">
        <f>'Звіт   4,5,6'!F8</f>
        <v>0</v>
      </c>
      <c r="B4" s="494">
        <f>'Звіт   4,5,6'!F9</f>
        <v>0</v>
      </c>
      <c r="C4" s="122">
        <f>'Звіт   4,5,6'!F10</f>
        <v>0</v>
      </c>
      <c r="D4" s="122">
        <f>'Звіт   4,5,6'!F11</f>
        <v>0</v>
      </c>
      <c r="E4" s="1245">
        <f>'Звіт   4,5,6'!F33</f>
        <v>0</v>
      </c>
      <c r="F4" s="494">
        <f>'Звіт   4,5,6'!F34</f>
        <v>0</v>
      </c>
      <c r="G4" s="122">
        <f>'Звіт   4,5,6'!F35</f>
        <v>0</v>
      </c>
      <c r="H4" s="505">
        <f>'Звіт   4,5,6'!F36</f>
        <v>0</v>
      </c>
      <c r="I4" s="1244">
        <f>'Звіт   4,5,6'!H8</f>
        <v>50956018.719999999</v>
      </c>
      <c r="J4" s="494">
        <f>'Звіт   4,5,6'!H9</f>
        <v>0</v>
      </c>
      <c r="K4" s="122">
        <f>'Звіт   4,5,6'!H10</f>
        <v>0</v>
      </c>
      <c r="L4" s="122">
        <f>'Звіт   4,5,6'!H11</f>
        <v>50956018.719999999</v>
      </c>
      <c r="M4" s="1245">
        <f>'Звіт   4,5,6'!H33</f>
        <v>0</v>
      </c>
      <c r="N4" s="1244">
        <f>'Звіт   4,5,6'!H34</f>
        <v>0</v>
      </c>
      <c r="O4" s="494">
        <f>'Звіт   4,5,6'!H35</f>
        <v>0</v>
      </c>
      <c r="P4" s="122">
        <f>'Звіт   4,5,6'!H36</f>
        <v>0</v>
      </c>
      <c r="Q4" s="1242">
        <f>'Звіт 1,2,3'!F32</f>
        <v>0</v>
      </c>
      <c r="R4" s="1242">
        <f>'Звіт  7,8'!F46</f>
        <v>0</v>
      </c>
      <c r="S4" s="1242">
        <f>'Звіт   4,5,6'!D49</f>
        <v>0</v>
      </c>
      <c r="T4" s="1242">
        <f>'Звіт  7,8'!G46</f>
        <v>0</v>
      </c>
      <c r="U4" s="1243">
        <f>'Звіт 1,2,3'!G32</f>
        <v>70233</v>
      </c>
      <c r="V4" s="1243">
        <f>'Звіт  7,8'!H46</f>
        <v>70233</v>
      </c>
      <c r="W4" s="1243">
        <f>'Звіт   4,5,6'!E49</f>
        <v>70233</v>
      </c>
      <c r="X4" s="1243">
        <f>'Звіт  7,8'!I46</f>
        <v>70233</v>
      </c>
    </row>
    <row r="8" spans="1:24" ht="19.5" customHeight="1" x14ac:dyDescent="0.25"/>
  </sheetData>
  <mergeCells count="6">
    <mergeCell ref="Q2:T2"/>
    <mergeCell ref="U2:X2"/>
    <mergeCell ref="Q1:X1"/>
    <mergeCell ref="A2:H2"/>
    <mergeCell ref="I2:P2"/>
    <mergeCell ref="A1:P1"/>
  </mergeCells>
  <conditionalFormatting sqref="A4:H4">
    <cfRule type="cellIs" dxfId="4" priority="6" operator="lessThan">
      <formula>0</formula>
    </cfRule>
  </conditionalFormatting>
  <conditionalFormatting sqref="I2">
    <cfRule type="cellIs" dxfId="3" priority="2" operator="lessThan">
      <formula>0</formula>
    </cfRule>
  </conditionalFormatting>
  <conditionalFormatting sqref="I4:P4">
    <cfRule type="cellIs" dxfId="2" priority="1" operator="lessThan">
      <formula>0</formula>
    </cfRule>
  </conditionalFormatting>
  <dataValidations count="1">
    <dataValidation type="decimal" showInputMessage="1" showErrorMessage="1" sqref="Q4:W4">
      <formula1>-100000000</formula1>
      <formula2>100000000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21"/>
  <sheetViews>
    <sheetView showGridLines="0" view="pageBreakPreview" topLeftCell="B1" zoomScale="60" zoomScaleNormal="60" zoomScalePageLayoutView="50" workbookViewId="0">
      <selection activeCell="Q32" sqref="Q32"/>
    </sheetView>
  </sheetViews>
  <sheetFormatPr defaultColWidth="19.42578125" defaultRowHeight="18.75" x14ac:dyDescent="0.25"/>
  <cols>
    <col min="1" max="1" width="8.42578125" style="22" customWidth="1"/>
    <col min="2" max="2" width="7.7109375" style="20" customWidth="1"/>
    <col min="3" max="3" width="17.5703125" style="1" customWidth="1"/>
    <col min="4" max="4" width="53.42578125" style="2" customWidth="1"/>
    <col min="5" max="5" width="19.7109375" style="58" customWidth="1"/>
    <col min="6" max="6" width="20.28515625" style="58" customWidth="1"/>
    <col min="7" max="7" width="20.7109375" style="58" customWidth="1"/>
    <col min="8" max="8" width="19.5703125" style="4" customWidth="1"/>
    <col min="9" max="9" width="21.5703125" style="4" customWidth="1"/>
    <col min="10" max="10" width="18.5703125" style="4" customWidth="1"/>
    <col min="11" max="11" width="20.28515625" style="4" customWidth="1"/>
    <col min="12" max="18" width="15.7109375" style="4" customWidth="1"/>
    <col min="19" max="19" width="23.42578125" style="4" customWidth="1"/>
    <col min="20" max="20" width="15.7109375" style="4" customWidth="1"/>
    <col min="21" max="21" width="18.42578125" style="13" customWidth="1"/>
    <col min="22" max="23" width="23.7109375" style="12" customWidth="1"/>
    <col min="24" max="24" width="26.28515625" style="2" customWidth="1"/>
    <col min="25" max="27" width="29.42578125" style="47" customWidth="1"/>
    <col min="28" max="28" width="0.28515625" style="47" customWidth="1"/>
    <col min="29" max="30" width="23.5703125" style="2" customWidth="1"/>
    <col min="31" max="31" width="0.28515625" style="2" customWidth="1"/>
    <col min="32" max="253" width="8.7109375" style="2" customWidth="1"/>
    <col min="254" max="254" width="78.5703125" style="2" customWidth="1"/>
    <col min="255" max="16384" width="19.42578125" style="2"/>
  </cols>
  <sheetData>
    <row r="1" spans="1:31" ht="47.25" customHeight="1" thickBot="1" x14ac:dyDescent="0.3">
      <c r="A1" s="2187" t="s">
        <v>37</v>
      </c>
      <c r="B1" s="1985" t="s">
        <v>7</v>
      </c>
      <c r="C1" s="1985"/>
      <c r="D1" s="1985"/>
      <c r="E1" s="1956" t="s">
        <v>1951</v>
      </c>
      <c r="F1" s="1997"/>
      <c r="G1" s="1997"/>
      <c r="H1" s="1997"/>
      <c r="I1" s="1997"/>
      <c r="J1" s="1997"/>
      <c r="K1" s="1998"/>
      <c r="L1" s="2795" t="s">
        <v>1950</v>
      </c>
      <c r="M1" s="2796"/>
      <c r="N1" s="2796"/>
      <c r="O1" s="2796"/>
      <c r="P1" s="2796"/>
      <c r="Q1" s="2796"/>
      <c r="R1" s="2796"/>
      <c r="S1" s="2796"/>
      <c r="T1" s="2797"/>
      <c r="U1" s="2800" t="s">
        <v>1773</v>
      </c>
      <c r="V1" s="2801"/>
      <c r="W1" s="2798" t="s">
        <v>1954</v>
      </c>
      <c r="X1" s="2800" t="s">
        <v>33</v>
      </c>
      <c r="Y1" s="2801"/>
      <c r="Z1" s="2164" t="s">
        <v>210</v>
      </c>
      <c r="AA1" s="2164"/>
      <c r="AB1" s="108"/>
    </row>
    <row r="2" spans="1:31" ht="98.25" customHeight="1" x14ac:dyDescent="0.25">
      <c r="A2" s="2187"/>
      <c r="B2" s="1985"/>
      <c r="C2" s="1985"/>
      <c r="D2" s="1985"/>
      <c r="E2" s="1368" t="s">
        <v>247</v>
      </c>
      <c r="F2" s="1374" t="s">
        <v>32</v>
      </c>
      <c r="G2" s="1374" t="s">
        <v>33</v>
      </c>
      <c r="H2" s="1374" t="s">
        <v>14</v>
      </c>
      <c r="I2" s="1374" t="s">
        <v>362</v>
      </c>
      <c r="J2" s="1374" t="s">
        <v>16</v>
      </c>
      <c r="K2" s="1374" t="s">
        <v>210</v>
      </c>
      <c r="L2" s="1374" t="str">
        <f>E2</f>
        <v>Всього</v>
      </c>
      <c r="M2" s="1374" t="str">
        <f t="shared" ref="M2:R2" si="0">F2</f>
        <v xml:space="preserve">Керівники </v>
      </c>
      <c r="N2" s="1374" t="str">
        <f t="shared" si="0"/>
        <v>Керівники структурних підрозділів</v>
      </c>
      <c r="O2" s="1374" t="str">
        <f t="shared" si="0"/>
        <v>Лікарі</v>
      </c>
      <c r="P2" s="1374" t="str">
        <f t="shared" si="0"/>
        <v>Середній медичний персонал (в тому числі фельдшери, парамедики)</v>
      </c>
      <c r="Q2" s="1374" t="str">
        <f t="shared" si="0"/>
        <v>Молодший медичний персонал</v>
      </c>
      <c r="R2" s="1374" t="str">
        <f t="shared" si="0"/>
        <v>Інші працівники</v>
      </c>
      <c r="S2" s="1531" t="s">
        <v>1952</v>
      </c>
      <c r="T2" s="71" t="s">
        <v>1007</v>
      </c>
      <c r="U2" s="1374" t="s">
        <v>247</v>
      </c>
      <c r="V2" s="1374" t="s">
        <v>1771</v>
      </c>
      <c r="W2" s="2799"/>
      <c r="X2" s="590" t="s">
        <v>692</v>
      </c>
      <c r="Y2" s="1459" t="s">
        <v>406</v>
      </c>
      <c r="Z2" s="70" t="s">
        <v>693</v>
      </c>
      <c r="AA2" s="1459" t="s">
        <v>324</v>
      </c>
      <c r="AB2" s="1455"/>
    </row>
    <row r="3" spans="1:31" ht="29.1" customHeight="1" x14ac:dyDescent="0.25">
      <c r="A3" s="1376">
        <v>1</v>
      </c>
      <c r="B3" s="2159" t="s">
        <v>247</v>
      </c>
      <c r="C3" s="2159"/>
      <c r="D3" s="2159"/>
      <c r="E3" s="1529">
        <f>'Звіт  7,8'!E28</f>
        <v>577</v>
      </c>
      <c r="F3" s="1529">
        <f>'Звіт  7,8'!F28</f>
        <v>2</v>
      </c>
      <c r="G3" s="1529">
        <f>X3+Y3</f>
        <v>37</v>
      </c>
      <c r="H3" s="1529">
        <f>'Звіт  7,8'!I28</f>
        <v>71</v>
      </c>
      <c r="I3" s="1529">
        <f>'Звіт  7,8'!J28</f>
        <v>189</v>
      </c>
      <c r="J3" s="1529">
        <f>'Звіт  7,8'!K28</f>
        <v>119</v>
      </c>
      <c r="K3" s="1529">
        <f>Z3+AA3</f>
        <v>159</v>
      </c>
      <c r="L3" s="2"/>
      <c r="M3" s="2"/>
      <c r="N3" s="2"/>
      <c r="O3" s="2"/>
      <c r="P3" s="2"/>
      <c r="Q3" s="2"/>
      <c r="R3" s="2"/>
      <c r="S3" s="1529"/>
      <c r="T3" s="1529"/>
      <c r="U3" s="1529">
        <f>'Звіт  7,8'!N28</f>
        <v>496164</v>
      </c>
      <c r="V3" s="1529">
        <f>'Звіт  7,8'!O28</f>
        <v>860</v>
      </c>
      <c r="W3" s="1529">
        <v>966</v>
      </c>
      <c r="X3" s="1529">
        <f>'Звіт  7,8'!G28</f>
        <v>18</v>
      </c>
      <c r="Y3" s="1529">
        <f>'Звіт  7,8'!H28</f>
        <v>19</v>
      </c>
      <c r="Z3" s="1529">
        <f>'Звіт  7,8'!L28</f>
        <v>153</v>
      </c>
      <c r="AA3" s="1529">
        <f>'Звіт  7,8'!M28</f>
        <v>6</v>
      </c>
      <c r="AB3" s="4"/>
    </row>
    <row r="4" spans="1:31" ht="29.1" customHeight="1" x14ac:dyDescent="0.25">
      <c r="A4" s="1376" t="s">
        <v>88</v>
      </c>
      <c r="B4" s="2802" t="s">
        <v>1953</v>
      </c>
      <c r="C4" s="2802"/>
      <c r="D4" s="2802"/>
      <c r="E4" s="1529">
        <f>'Звіт  7,8'!E29</f>
        <v>569</v>
      </c>
      <c r="F4" s="1529">
        <f>'Звіт  7,8'!F29</f>
        <v>2</v>
      </c>
      <c r="G4" s="1529">
        <f>X4+Y4</f>
        <v>37</v>
      </c>
      <c r="H4" s="1529">
        <f>'Звіт  7,8'!I29</f>
        <v>65</v>
      </c>
      <c r="I4" s="1529">
        <f>'Звіт  7,8'!J29</f>
        <v>189</v>
      </c>
      <c r="J4" s="1529">
        <f>'Звіт  7,8'!K29</f>
        <v>118</v>
      </c>
      <c r="K4" s="1529">
        <f>Z4+AA4</f>
        <v>158</v>
      </c>
      <c r="L4" s="1196">
        <f>E7/E4/6</f>
        <v>9713.9500000000007</v>
      </c>
      <c r="M4" s="1196">
        <f>(F7)/F4/6</f>
        <v>22808.09</v>
      </c>
      <c r="N4" s="1196">
        <f>(G7/(X4+Y4)/6)</f>
        <v>13932.44</v>
      </c>
      <c r="O4" s="1196">
        <f>(H7)/H4/6</f>
        <v>13702.74</v>
      </c>
      <c r="P4" s="1196">
        <f>(I7)/I4/6</f>
        <v>10560.18</v>
      </c>
      <c r="Q4" s="1196">
        <f>(J7)/J4/6</f>
        <v>7526.87</v>
      </c>
      <c r="R4" s="1196">
        <f>K7/(Z4+AA4)/6</f>
        <v>7540.49</v>
      </c>
      <c r="S4" s="1196">
        <f>(E7/(U4/966)/6)</f>
        <v>10826.97</v>
      </c>
      <c r="T4" s="1223">
        <f>S4*100/L4</f>
        <v>111.5</v>
      </c>
      <c r="U4" s="1529">
        <f>'Звіт  7,8'!N29</f>
        <v>493149</v>
      </c>
      <c r="V4" s="1529">
        <f>'Звіт  7,8'!O29</f>
        <v>867</v>
      </c>
      <c r="W4" s="1529"/>
      <c r="X4" s="1529">
        <f>'Звіт  7,8'!G29</f>
        <v>18</v>
      </c>
      <c r="Y4" s="1529">
        <f>'Звіт  7,8'!H29</f>
        <v>19</v>
      </c>
      <c r="Z4" s="1529">
        <f>'Звіт  7,8'!L29</f>
        <v>152</v>
      </c>
      <c r="AA4" s="1529">
        <f>'Звіт  7,8'!M29</f>
        <v>6</v>
      </c>
      <c r="AB4" s="1456"/>
    </row>
    <row r="5" spans="1:31" ht="29.1" customHeight="1" thickBot="1" x14ac:dyDescent="0.3">
      <c r="A5" s="1376" t="s">
        <v>89</v>
      </c>
      <c r="B5" s="2802" t="s">
        <v>39</v>
      </c>
      <c r="C5" s="2802"/>
      <c r="D5" s="2802"/>
      <c r="E5" s="1529">
        <f>'Звіт  7,8'!E30</f>
        <v>8</v>
      </c>
      <c r="F5" s="1529">
        <f>'Звіт  7,8'!F30</f>
        <v>0</v>
      </c>
      <c r="G5" s="1529">
        <f>X5+Y5</f>
        <v>0</v>
      </c>
      <c r="H5" s="1529">
        <f>'Звіт  7,8'!I30</f>
        <v>6</v>
      </c>
      <c r="I5" s="1529">
        <f>'Звіт  7,8'!J30</f>
        <v>0</v>
      </c>
      <c r="J5" s="1529">
        <f>'Звіт  7,8'!K30</f>
        <v>1</v>
      </c>
      <c r="K5" s="1529">
        <f>Z5+AA5</f>
        <v>1</v>
      </c>
      <c r="L5" s="1529"/>
      <c r="M5" s="1529"/>
      <c r="N5" s="1529"/>
      <c r="O5" s="1529"/>
      <c r="P5" s="1529"/>
      <c r="Q5" s="1529"/>
      <c r="R5" s="1529"/>
      <c r="S5" s="1529"/>
      <c r="T5" s="1529"/>
      <c r="U5" s="1529">
        <f>'Звіт  7,8'!N30</f>
        <v>3015</v>
      </c>
      <c r="V5" s="1529">
        <f>'Звіт  7,8'!O30</f>
        <v>377</v>
      </c>
      <c r="W5" s="1529"/>
      <c r="X5" s="1529">
        <f>'Звіт  7,8'!G30</f>
        <v>0</v>
      </c>
      <c r="Y5" s="1529">
        <f>'Звіт  7,8'!H30</f>
        <v>0</v>
      </c>
      <c r="Z5" s="1529">
        <f>'Звіт  7,8'!L30</f>
        <v>1</v>
      </c>
      <c r="AA5" s="1529">
        <f>'Звіт  7,8'!M30</f>
        <v>0</v>
      </c>
      <c r="AB5" s="1532"/>
    </row>
    <row r="6" spans="1:31" s="12" customFormat="1" ht="44.65" customHeight="1" x14ac:dyDescent="0.25">
      <c r="A6" s="1376" t="s">
        <v>90</v>
      </c>
      <c r="B6" s="2802" t="s">
        <v>40</v>
      </c>
      <c r="C6" s="2802"/>
      <c r="D6" s="2802"/>
      <c r="E6" s="1529">
        <f>'Звіт  7,8'!E31</f>
        <v>0</v>
      </c>
      <c r="F6" s="1529">
        <f>'Звіт  7,8'!F31</f>
        <v>0</v>
      </c>
      <c r="G6" s="1529">
        <f>X6+Y6</f>
        <v>0</v>
      </c>
      <c r="H6" s="1529">
        <f>'Звіт  7,8'!I31</f>
        <v>0</v>
      </c>
      <c r="I6" s="1529">
        <f>'Звіт  7,8'!J31</f>
        <v>0</v>
      </c>
      <c r="J6" s="1529">
        <f>'Звіт  7,8'!K31</f>
        <v>0</v>
      </c>
      <c r="K6" s="1529">
        <f>Z6+AA6</f>
        <v>0</v>
      </c>
      <c r="L6" s="1529"/>
      <c r="M6" s="1529"/>
      <c r="N6" s="1529"/>
      <c r="O6" s="1529"/>
      <c r="P6" s="1529"/>
      <c r="Q6" s="1529"/>
      <c r="R6" s="1529"/>
      <c r="S6" s="1529"/>
      <c r="T6" s="1529"/>
      <c r="U6" s="1529">
        <f>'Звіт  7,8'!N31</f>
        <v>0</v>
      </c>
      <c r="V6" s="1529" t="e">
        <f>'Звіт  7,8'!O31</f>
        <v>#DIV/0!</v>
      </c>
      <c r="W6" s="1529"/>
      <c r="X6" s="1529">
        <f>'Звіт  7,8'!G31</f>
        <v>0</v>
      </c>
      <c r="Y6" s="1529">
        <f>'Звіт  7,8'!H31</f>
        <v>0</v>
      </c>
      <c r="Z6" s="1529">
        <f>'Звіт  7,8'!L31</f>
        <v>0</v>
      </c>
      <c r="AA6" s="1529">
        <f>'Звіт  7,8'!M31</f>
        <v>0</v>
      </c>
      <c r="AB6" s="4"/>
      <c r="AC6" s="2"/>
    </row>
    <row r="7" spans="1:31" s="12" customFormat="1" ht="24.75" customHeight="1" x14ac:dyDescent="0.25">
      <c r="A7" s="1376">
        <v>2</v>
      </c>
      <c r="B7" s="2159" t="s">
        <v>1955</v>
      </c>
      <c r="C7" s="2159"/>
      <c r="D7" s="2159"/>
      <c r="E7" s="1196">
        <f>'Звіт  7,8'!F13</f>
        <v>33163411.960000001</v>
      </c>
      <c r="F7" s="1196">
        <f>'Звіт  7,8'!F14</f>
        <v>273697.07</v>
      </c>
      <c r="G7" s="1196">
        <f>'Звіт  7,8'!F15</f>
        <v>3093002.27</v>
      </c>
      <c r="H7" s="1196">
        <f>'Звіт  7,8'!F16</f>
        <v>5344067.47</v>
      </c>
      <c r="I7" s="1196">
        <f>'Звіт  7,8'!F17</f>
        <v>11975239.35</v>
      </c>
      <c r="J7" s="1196">
        <f>'Звіт  7,8'!F18</f>
        <v>5329021.67</v>
      </c>
      <c r="K7" s="1196">
        <f>'Звіт  7,8'!F19</f>
        <v>7148384.1299999999</v>
      </c>
      <c r="L7" s="1195"/>
      <c r="M7" s="1195"/>
      <c r="N7" s="1195"/>
      <c r="O7" s="1195"/>
      <c r="P7" s="1195"/>
      <c r="Q7" s="1195"/>
      <c r="R7" s="1195"/>
      <c r="S7" s="1195"/>
      <c r="T7" s="1195"/>
      <c r="U7" s="1530"/>
      <c r="V7" s="1530"/>
      <c r="W7" s="1530"/>
      <c r="X7" s="1530"/>
      <c r="Y7" s="1530"/>
      <c r="Z7" s="1530"/>
      <c r="AA7" s="1530"/>
      <c r="AB7" s="880"/>
      <c r="AC7" s="955"/>
      <c r="AD7" s="2"/>
      <c r="AE7" s="2"/>
    </row>
    <row r="8" spans="1:31" s="12" customFormat="1" ht="23.25" customHeight="1" x14ac:dyDescent="0.25">
      <c r="A8" s="1376" t="s">
        <v>1053</v>
      </c>
      <c r="B8" s="2802" t="s">
        <v>1403</v>
      </c>
      <c r="C8" s="2802"/>
      <c r="D8" s="2802"/>
      <c r="E8" s="1196">
        <f>'Звіт  7,8'!H13</f>
        <v>17344305.670000002</v>
      </c>
      <c r="F8" s="1196">
        <f>'Звіт  7,8'!H14</f>
        <v>247047.45</v>
      </c>
      <c r="G8" s="1196">
        <f>'Звіт  7,8'!H15</f>
        <v>1877172.37</v>
      </c>
      <c r="H8" s="1196">
        <f>'Звіт  7,8'!H16</f>
        <v>2666732.3199999998</v>
      </c>
      <c r="I8" s="1196">
        <f>'Звіт  7,8'!H17</f>
        <v>6013414.0999999996</v>
      </c>
      <c r="J8" s="1196">
        <f>'Звіт  7,8'!H18</f>
        <v>2649003.19</v>
      </c>
      <c r="K8" s="1196">
        <f>'Звіт  7,8'!H19</f>
        <v>3890936.24</v>
      </c>
      <c r="L8" s="1195"/>
      <c r="M8" s="1195"/>
      <c r="N8" s="1195"/>
      <c r="O8" s="1195"/>
      <c r="P8" s="1195"/>
      <c r="Q8" s="1195"/>
      <c r="R8" s="1195"/>
      <c r="S8" s="1195"/>
      <c r="T8" s="1195"/>
      <c r="U8" s="1530"/>
      <c r="V8" s="1530"/>
      <c r="W8" s="1530"/>
      <c r="X8" s="1530"/>
      <c r="Y8" s="1530"/>
      <c r="Z8" s="1530"/>
      <c r="AA8" s="1530"/>
      <c r="AB8" s="880"/>
      <c r="AC8" s="955"/>
      <c r="AD8" s="2"/>
      <c r="AE8" s="2"/>
    </row>
    <row r="9" spans="1:31" s="12" customFormat="1" ht="23.25" customHeight="1" x14ac:dyDescent="0.25">
      <c r="A9" s="1376" t="s">
        <v>1054</v>
      </c>
      <c r="B9" s="2802" t="s">
        <v>1404</v>
      </c>
      <c r="C9" s="2802"/>
      <c r="D9" s="2802"/>
      <c r="E9" s="1196">
        <f>'Звіт  7,8'!J13</f>
        <v>14548952.970000001</v>
      </c>
      <c r="F9" s="1196">
        <f>'Звіт  7,8'!J14</f>
        <v>26649.62</v>
      </c>
      <c r="G9" s="1196">
        <f>'Звіт  7,8'!J15</f>
        <v>1124309.4099999999</v>
      </c>
      <c r="H9" s="1196">
        <f>'Звіт  7,8'!J16</f>
        <v>2411053.67</v>
      </c>
      <c r="I9" s="1196">
        <f>'Звіт  7,8'!J17</f>
        <v>5355273.3</v>
      </c>
      <c r="J9" s="1196">
        <f>'Звіт  7,8'!J18</f>
        <v>2413480.7799999998</v>
      </c>
      <c r="K9" s="1196">
        <f>'Звіт  7,8'!J19</f>
        <v>3218186.19</v>
      </c>
      <c r="L9" s="1195"/>
      <c r="M9" s="1195"/>
      <c r="N9" s="1195"/>
      <c r="O9" s="1195"/>
      <c r="P9" s="1195"/>
      <c r="Q9" s="1195"/>
      <c r="R9" s="1195"/>
      <c r="S9" s="1195"/>
      <c r="T9" s="1195"/>
      <c r="U9" s="1530"/>
      <c r="V9" s="1530"/>
      <c r="W9" s="1530"/>
      <c r="X9" s="1530"/>
      <c r="Y9" s="1530"/>
      <c r="Z9" s="1530"/>
      <c r="AA9" s="1530"/>
      <c r="AB9" s="880"/>
      <c r="AC9" s="955"/>
      <c r="AD9" s="2"/>
      <c r="AE9" s="2"/>
    </row>
    <row r="10" spans="1:31" s="12" customFormat="1" ht="23.25" customHeight="1" x14ac:dyDescent="0.25">
      <c r="A10" s="1376" t="s">
        <v>1949</v>
      </c>
      <c r="B10" s="2802" t="s">
        <v>1405</v>
      </c>
      <c r="C10" s="2802"/>
      <c r="D10" s="2802"/>
      <c r="E10" s="1196">
        <f>'Звіт  7,8'!L13</f>
        <v>1270153.32</v>
      </c>
      <c r="F10" s="1196">
        <f>'Звіт  7,8'!L14</f>
        <v>0</v>
      </c>
      <c r="G10" s="1196">
        <f>'Звіт  7,8'!L15</f>
        <v>91520.49</v>
      </c>
      <c r="H10" s="1196">
        <f>'Звіт  7,8'!L16</f>
        <v>266281.48</v>
      </c>
      <c r="I10" s="1196">
        <f>'Звіт  7,8'!L17</f>
        <v>606551.94999999995</v>
      </c>
      <c r="J10" s="1196">
        <f>'Звіт  7,8'!L18</f>
        <v>266537.7</v>
      </c>
      <c r="K10" s="1196">
        <f>'Звіт  7,8'!L19</f>
        <v>39261.699999999997</v>
      </c>
      <c r="L10" s="1195"/>
      <c r="M10" s="1195"/>
      <c r="N10" s="1195"/>
      <c r="O10" s="1195"/>
      <c r="P10" s="1195"/>
      <c r="Q10" s="1195"/>
      <c r="R10" s="1195"/>
      <c r="S10" s="1195"/>
      <c r="T10" s="1195"/>
      <c r="U10" s="1530"/>
      <c r="V10" s="1530"/>
      <c r="W10" s="1530"/>
      <c r="X10" s="1530"/>
      <c r="Y10" s="1530"/>
      <c r="Z10" s="1530"/>
      <c r="AA10" s="1530"/>
      <c r="AB10" s="880"/>
      <c r="AC10" s="955"/>
      <c r="AD10" s="2"/>
      <c r="AE10" s="2"/>
    </row>
    <row r="11" spans="1:31" s="12" customFormat="1" ht="38.25" customHeight="1" x14ac:dyDescent="0.25">
      <c r="A11" s="1376">
        <v>3</v>
      </c>
      <c r="B11" s="2159" t="s">
        <v>1777</v>
      </c>
      <c r="C11" s="2159"/>
      <c r="D11" s="2159"/>
      <c r="E11" s="1196">
        <f>'Звіт  7,8'!N13</f>
        <v>8199249.9500000002</v>
      </c>
      <c r="F11" s="1196">
        <f>'Звіт  7,8'!N14</f>
        <v>78764.289999999994</v>
      </c>
      <c r="G11" s="1196">
        <f>'Звіт  7,8'!N15</f>
        <v>796098.94</v>
      </c>
      <c r="H11" s="1196">
        <f>'Звіт  7,8'!N16</f>
        <v>1307598.17</v>
      </c>
      <c r="I11" s="1196">
        <f>'Звіт  7,8'!N17</f>
        <v>3056280.91</v>
      </c>
      <c r="J11" s="1196">
        <f>'Звіт  7,8'!N18</f>
        <v>1329559.21</v>
      </c>
      <c r="K11" s="1196">
        <f>'Звіт  7,8'!N19</f>
        <v>1630948.43</v>
      </c>
      <c r="L11" s="1195"/>
      <c r="M11" s="1195"/>
      <c r="N11" s="1195"/>
      <c r="O11" s="1195"/>
      <c r="P11" s="1195"/>
      <c r="Q11" s="1195"/>
      <c r="R11" s="1195"/>
      <c r="S11" s="1195"/>
      <c r="T11" s="1195"/>
      <c r="U11" s="1530"/>
      <c r="V11" s="1530"/>
      <c r="W11" s="1530"/>
      <c r="X11" s="1530"/>
      <c r="Y11" s="1530"/>
      <c r="Z11" s="1530"/>
      <c r="AA11" s="1530"/>
      <c r="AB11" s="880"/>
      <c r="AC11" s="955"/>
      <c r="AD11" s="2"/>
      <c r="AE11" s="2"/>
    </row>
    <row r="12" spans="1:31" ht="22.5" customHeight="1" x14ac:dyDescent="0.25">
      <c r="A12" s="1376">
        <v>7</v>
      </c>
      <c r="B12" s="2159" t="s">
        <v>1956</v>
      </c>
      <c r="C12" s="2159"/>
      <c r="D12" s="2159"/>
      <c r="E12" s="1196">
        <f>'Звіт  7,8'!E13</f>
        <v>0</v>
      </c>
      <c r="F12" s="1196">
        <f>'Звіт  7,8'!E14</f>
        <v>0</v>
      </c>
      <c r="G12" s="1196">
        <f>'Звіт  7,8'!E15</f>
        <v>0</v>
      </c>
      <c r="H12" s="1196">
        <f>'Звіт  7,8'!E16</f>
        <v>0</v>
      </c>
      <c r="I12" s="1196">
        <f>'Звіт  7,8'!E17</f>
        <v>0</v>
      </c>
      <c r="J12" s="1196">
        <f>'Звіт  7,8'!E18</f>
        <v>0</v>
      </c>
      <c r="K12" s="1196">
        <f>'Звіт  7,8'!E19</f>
        <v>0</v>
      </c>
      <c r="L12" s="1195"/>
      <c r="M12" s="1195"/>
      <c r="N12" s="1195"/>
      <c r="O12" s="1195"/>
      <c r="P12" s="1195"/>
      <c r="Q12" s="1195"/>
      <c r="R12" s="1195"/>
      <c r="S12" s="1195"/>
      <c r="T12" s="1195"/>
    </row>
    <row r="13" spans="1:31" s="79" customFormat="1" ht="33" customHeight="1" x14ac:dyDescent="0.25">
      <c r="A13" s="1376" t="s">
        <v>613</v>
      </c>
      <c r="B13" s="2802" t="s">
        <v>1403</v>
      </c>
      <c r="C13" s="2802"/>
      <c r="D13" s="2802"/>
      <c r="E13" s="1196">
        <f>'Звіт  7,8'!G13</f>
        <v>0</v>
      </c>
      <c r="F13" s="1196">
        <f>'Звіт  7,8'!G14</f>
        <v>0</v>
      </c>
      <c r="G13" s="1196">
        <f>'Звіт  7,8'!G15</f>
        <v>0</v>
      </c>
      <c r="H13" s="1196">
        <f>'Звіт  7,8'!G16</f>
        <v>0</v>
      </c>
      <c r="I13" s="1196">
        <f>'Звіт  7,8'!G17</f>
        <v>0</v>
      </c>
      <c r="J13" s="1196">
        <f>'Звіт  7,8'!G18</f>
        <v>0</v>
      </c>
      <c r="K13" s="1196">
        <f>'Звіт  7,8'!G19</f>
        <v>0</v>
      </c>
      <c r="L13" s="1195"/>
      <c r="M13" s="1195"/>
      <c r="N13" s="1195"/>
      <c r="O13" s="1195"/>
      <c r="P13" s="1195"/>
      <c r="Q13" s="1195"/>
      <c r="R13" s="1195"/>
      <c r="S13" s="1195"/>
      <c r="T13" s="1195"/>
      <c r="X13" s="76"/>
      <c r="Y13" s="77"/>
      <c r="Z13" s="77"/>
      <c r="AA13" s="77"/>
      <c r="AB13" s="77"/>
      <c r="AC13" s="76"/>
      <c r="AD13" s="76"/>
      <c r="AE13" s="76"/>
    </row>
    <row r="14" spans="1:31" s="79" customFormat="1" ht="30" customHeight="1" x14ac:dyDescent="0.25">
      <c r="A14" s="1376" t="s">
        <v>614</v>
      </c>
      <c r="B14" s="2802" t="s">
        <v>1404</v>
      </c>
      <c r="C14" s="2802"/>
      <c r="D14" s="2802"/>
      <c r="E14" s="1196">
        <f>'Звіт  7,8'!I13</f>
        <v>0</v>
      </c>
      <c r="F14" s="1196">
        <f>'Звіт  7,8'!I14</f>
        <v>0</v>
      </c>
      <c r="G14" s="1196">
        <f>'Звіт  7,8'!I15</f>
        <v>0</v>
      </c>
      <c r="H14" s="1196">
        <f>'Звіт  7,8'!I16</f>
        <v>0</v>
      </c>
      <c r="I14" s="1196">
        <f>'Звіт  7,8'!I17</f>
        <v>0</v>
      </c>
      <c r="J14" s="1196">
        <f>'Звіт  7,8'!I18</f>
        <v>0</v>
      </c>
      <c r="K14" s="1196">
        <f>'Звіт  7,8'!I19</f>
        <v>0</v>
      </c>
      <c r="L14" s="1195"/>
      <c r="M14" s="1195"/>
      <c r="N14" s="1195"/>
      <c r="O14" s="1195"/>
      <c r="P14" s="1195"/>
      <c r="Q14" s="1195"/>
      <c r="R14" s="1195"/>
      <c r="S14" s="1195"/>
      <c r="T14" s="1195"/>
      <c r="U14" s="100"/>
      <c r="X14" s="76"/>
      <c r="Y14" s="77"/>
      <c r="Z14" s="77"/>
      <c r="AA14" s="77"/>
      <c r="AB14" s="77"/>
      <c r="AC14" s="76"/>
      <c r="AD14" s="76"/>
      <c r="AE14" s="76"/>
    </row>
    <row r="15" spans="1:31" s="79" customFormat="1" ht="30" customHeight="1" x14ac:dyDescent="0.25">
      <c r="A15" s="1376" t="s">
        <v>794</v>
      </c>
      <c r="B15" s="2802" t="s">
        <v>1405</v>
      </c>
      <c r="C15" s="2802"/>
      <c r="D15" s="2802"/>
      <c r="E15" s="1196">
        <f>'Звіт  7,8'!K13</f>
        <v>0</v>
      </c>
      <c r="F15" s="1196">
        <f>'Звіт  7,8'!K14</f>
        <v>0</v>
      </c>
      <c r="G15" s="1196">
        <f>'Звіт  7,8'!K15</f>
        <v>0</v>
      </c>
      <c r="H15" s="1196">
        <f>'Звіт  7,8'!K16</f>
        <v>0</v>
      </c>
      <c r="I15" s="1196">
        <f>'Звіт  7,8'!K17</f>
        <v>0</v>
      </c>
      <c r="J15" s="1196">
        <f>'Звіт  7,8'!K18</f>
        <v>0</v>
      </c>
      <c r="K15" s="1196">
        <f>'Звіт  7,8'!K19</f>
        <v>0</v>
      </c>
      <c r="L15" s="1195"/>
      <c r="M15" s="1195"/>
      <c r="N15" s="1195"/>
      <c r="O15" s="1195"/>
      <c r="P15" s="1195"/>
      <c r="Q15" s="1195"/>
      <c r="R15" s="1195"/>
      <c r="S15" s="1195"/>
      <c r="T15" s="1195"/>
      <c r="X15" s="76"/>
      <c r="Y15" s="77"/>
      <c r="Z15" s="77"/>
      <c r="AA15" s="77"/>
      <c r="AB15" s="77"/>
      <c r="AC15" s="76"/>
      <c r="AD15" s="76"/>
      <c r="AE15" s="76"/>
    </row>
    <row r="16" spans="1:31" s="79" customFormat="1" ht="43.5" customHeight="1" x14ac:dyDescent="0.25">
      <c r="A16" s="1376" t="s">
        <v>795</v>
      </c>
      <c r="B16" s="2159" t="s">
        <v>1777</v>
      </c>
      <c r="C16" s="2159"/>
      <c r="D16" s="2159"/>
      <c r="E16" s="1196">
        <f>'Звіт  7,8'!M13</f>
        <v>0</v>
      </c>
      <c r="F16" s="1196">
        <f>'Звіт  7,8'!M14</f>
        <v>0</v>
      </c>
      <c r="G16" s="1196">
        <f>'Звіт  7,8'!M15</f>
        <v>0</v>
      </c>
      <c r="H16" s="1196">
        <f>'Звіт  7,8'!M16</f>
        <v>0</v>
      </c>
      <c r="I16" s="1196">
        <f>'Звіт  7,8'!M17</f>
        <v>0</v>
      </c>
      <c r="J16" s="1196">
        <f>'Звіт  7,8'!M18</f>
        <v>0</v>
      </c>
      <c r="K16" s="1196">
        <f>'Звіт  7,8'!M19</f>
        <v>0</v>
      </c>
      <c r="L16" s="1195"/>
      <c r="M16" s="1195"/>
      <c r="N16" s="1195"/>
      <c r="O16" s="1195"/>
      <c r="P16" s="1195"/>
      <c r="Q16" s="1195"/>
      <c r="R16" s="1195"/>
      <c r="S16" s="1195"/>
      <c r="T16" s="1195"/>
      <c r="X16" s="76"/>
      <c r="Y16" s="77"/>
      <c r="Z16" s="77"/>
      <c r="AA16" s="77"/>
      <c r="AB16" s="77"/>
      <c r="AC16" s="76"/>
      <c r="AD16" s="76"/>
      <c r="AE16" s="76"/>
    </row>
    <row r="17" spans="1:31" s="79" customFormat="1" x14ac:dyDescent="0.25">
      <c r="A17" s="101"/>
      <c r="B17" s="102"/>
      <c r="C17" s="103"/>
      <c r="D17" s="76"/>
      <c r="E17" s="80"/>
      <c r="F17" s="80"/>
      <c r="G17" s="80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X17" s="76"/>
      <c r="Y17" s="77"/>
      <c r="Z17" s="77"/>
      <c r="AA17" s="77"/>
      <c r="AB17" s="77"/>
      <c r="AC17" s="76"/>
      <c r="AD17" s="76"/>
      <c r="AE17" s="76"/>
    </row>
    <row r="18" spans="1:31" s="76" customFormat="1" x14ac:dyDescent="0.25"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100"/>
      <c r="V18" s="79"/>
      <c r="W18" s="79"/>
      <c r="Y18" s="77"/>
      <c r="Z18" s="77"/>
      <c r="AA18" s="77"/>
      <c r="AB18" s="77"/>
    </row>
    <row r="19" spans="1:31" s="76" customFormat="1" ht="25.35" customHeight="1" x14ac:dyDescent="0.25"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100"/>
      <c r="V19" s="79"/>
      <c r="W19" s="79"/>
      <c r="Y19" s="77"/>
      <c r="Z19" s="77"/>
      <c r="AA19" s="77"/>
      <c r="AB19" s="77"/>
    </row>
    <row r="20" spans="1:31" s="76" customFormat="1" ht="27.6" customHeight="1" x14ac:dyDescent="0.25"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100"/>
      <c r="V20" s="79"/>
      <c r="W20" s="79"/>
      <c r="Y20" s="77"/>
      <c r="Z20" s="77"/>
      <c r="AA20" s="77"/>
      <c r="AB20" s="77"/>
    </row>
    <row r="21" spans="1:31" s="79" customFormat="1" x14ac:dyDescent="0.25">
      <c r="A21" s="101"/>
      <c r="B21" s="102"/>
      <c r="C21" s="103"/>
      <c r="D21" s="76"/>
      <c r="E21" s="80"/>
      <c r="F21" s="80"/>
      <c r="G21" s="80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X21" s="76"/>
      <c r="Y21" s="77"/>
      <c r="Z21" s="77"/>
      <c r="AA21" s="77"/>
      <c r="AB21" s="77"/>
      <c r="AC21" s="76"/>
      <c r="AD21" s="76"/>
      <c r="AE21" s="76"/>
    </row>
    <row r="22" spans="1:31" s="79" customFormat="1" x14ac:dyDescent="0.25">
      <c r="A22" s="101"/>
      <c r="B22" s="102"/>
      <c r="C22" s="103"/>
      <c r="D22" s="76"/>
      <c r="E22" s="80"/>
      <c r="F22" s="80"/>
      <c r="G22" s="80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X22" s="76"/>
      <c r="Y22" s="77"/>
      <c r="Z22" s="77"/>
      <c r="AA22" s="77"/>
      <c r="AB22" s="77"/>
      <c r="AC22" s="76"/>
      <c r="AD22" s="76"/>
      <c r="AE22" s="76"/>
    </row>
    <row r="23" spans="1:31" s="79" customFormat="1" x14ac:dyDescent="0.25">
      <c r="A23" s="101"/>
      <c r="B23" s="102"/>
      <c r="C23" s="103"/>
      <c r="D23" s="76"/>
      <c r="E23" s="80"/>
      <c r="F23" s="80"/>
      <c r="G23" s="80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X23" s="76"/>
      <c r="Y23" s="77"/>
      <c r="Z23" s="77"/>
      <c r="AA23" s="77"/>
      <c r="AB23" s="77"/>
      <c r="AC23" s="76"/>
      <c r="AD23" s="76"/>
      <c r="AE23" s="76"/>
    </row>
    <row r="24" spans="1:31" s="79" customFormat="1" x14ac:dyDescent="0.25">
      <c r="A24" s="101"/>
      <c r="B24" s="102"/>
      <c r="C24" s="103"/>
      <c r="D24" s="76"/>
      <c r="E24" s="80"/>
      <c r="F24" s="80"/>
      <c r="G24" s="80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X24" s="76"/>
      <c r="Y24" s="77"/>
      <c r="Z24" s="77"/>
      <c r="AA24" s="77"/>
      <c r="AB24" s="77"/>
      <c r="AC24" s="76"/>
      <c r="AD24" s="76"/>
      <c r="AE24" s="76"/>
    </row>
    <row r="25" spans="1:31" s="79" customFormat="1" x14ac:dyDescent="0.25">
      <c r="A25" s="101"/>
      <c r="B25" s="102"/>
      <c r="C25" s="103"/>
      <c r="D25" s="76"/>
      <c r="E25" s="80"/>
      <c r="F25" s="80"/>
      <c r="G25" s="8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X25" s="76"/>
      <c r="Y25" s="77"/>
      <c r="Z25" s="77"/>
      <c r="AA25" s="77"/>
      <c r="AB25" s="77"/>
      <c r="AC25" s="76"/>
      <c r="AD25" s="76"/>
      <c r="AE25" s="76"/>
    </row>
    <row r="26" spans="1:31" s="76" customFormat="1" x14ac:dyDescent="0.25">
      <c r="A26" s="101"/>
      <c r="B26" s="102"/>
      <c r="C26" s="103"/>
      <c r="E26" s="80"/>
      <c r="F26" s="80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100"/>
      <c r="V26" s="79"/>
      <c r="W26" s="79"/>
      <c r="Y26" s="77"/>
      <c r="Z26" s="77"/>
      <c r="AA26" s="77"/>
      <c r="AB26" s="77"/>
    </row>
    <row r="27" spans="1:31" s="76" customFormat="1" x14ac:dyDescent="0.25">
      <c r="A27" s="101"/>
      <c r="B27" s="102"/>
      <c r="C27" s="103"/>
      <c r="E27" s="80"/>
      <c r="F27" s="80"/>
      <c r="G27" s="80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100"/>
      <c r="V27" s="79"/>
      <c r="W27" s="79"/>
      <c r="Y27" s="77"/>
      <c r="Z27" s="77"/>
      <c r="AA27" s="77"/>
      <c r="AB27" s="77"/>
    </row>
    <row r="28" spans="1:31" s="76" customFormat="1" x14ac:dyDescent="0.25">
      <c r="A28" s="101"/>
      <c r="B28" s="102"/>
      <c r="C28" s="103"/>
      <c r="E28" s="80"/>
      <c r="F28" s="80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100"/>
      <c r="V28" s="79"/>
      <c r="W28" s="79"/>
      <c r="Y28" s="77"/>
      <c r="Z28" s="77"/>
      <c r="AA28" s="77"/>
      <c r="AB28" s="77"/>
    </row>
    <row r="29" spans="1:31" s="76" customFormat="1" x14ac:dyDescent="0.25">
      <c r="A29" s="101"/>
      <c r="B29" s="102"/>
      <c r="C29" s="103"/>
      <c r="E29" s="80"/>
      <c r="F29" s="80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100"/>
      <c r="V29" s="79"/>
      <c r="W29" s="79"/>
      <c r="Y29" s="77"/>
      <c r="Z29" s="77"/>
      <c r="AA29" s="77"/>
      <c r="AB29" s="77"/>
    </row>
    <row r="30" spans="1:31" s="76" customFormat="1" x14ac:dyDescent="0.25">
      <c r="A30" s="101"/>
      <c r="B30" s="102"/>
      <c r="C30" s="103"/>
      <c r="E30" s="80"/>
      <c r="F30" s="80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100"/>
      <c r="V30" s="79"/>
      <c r="W30" s="79"/>
      <c r="Y30" s="77"/>
      <c r="Z30" s="77"/>
      <c r="AA30" s="77"/>
      <c r="AB30" s="77"/>
    </row>
    <row r="31" spans="1:31" s="76" customFormat="1" x14ac:dyDescent="0.25">
      <c r="A31" s="101"/>
      <c r="B31" s="102"/>
      <c r="C31" s="103"/>
      <c r="E31" s="80"/>
      <c r="F31" s="80"/>
      <c r="G31" s="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100"/>
      <c r="V31" s="79"/>
      <c r="W31" s="79"/>
      <c r="Y31" s="77"/>
      <c r="Z31" s="77"/>
      <c r="AA31" s="77"/>
      <c r="AB31" s="77"/>
    </row>
    <row r="32" spans="1:31" s="76" customFormat="1" x14ac:dyDescent="0.25">
      <c r="A32" s="101"/>
      <c r="B32" s="102"/>
      <c r="C32" s="103"/>
      <c r="E32" s="80"/>
      <c r="F32" s="80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100"/>
      <c r="V32" s="79"/>
      <c r="W32" s="79"/>
      <c r="Y32" s="77"/>
      <c r="Z32" s="77"/>
      <c r="AA32" s="77"/>
      <c r="AB32" s="77"/>
    </row>
    <row r="33" spans="1:28" s="76" customFormat="1" x14ac:dyDescent="0.25">
      <c r="A33" s="101"/>
      <c r="B33" s="102"/>
      <c r="C33" s="103"/>
      <c r="E33" s="80"/>
      <c r="F33" s="80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100"/>
      <c r="V33" s="79"/>
      <c r="W33" s="79"/>
      <c r="Y33" s="77"/>
      <c r="Z33" s="77"/>
      <c r="AA33" s="77"/>
      <c r="AB33" s="77"/>
    </row>
    <row r="34" spans="1:28" s="76" customFormat="1" x14ac:dyDescent="0.25">
      <c r="A34" s="101"/>
      <c r="B34" s="102"/>
      <c r="C34" s="103"/>
      <c r="E34" s="80"/>
      <c r="F34" s="80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100"/>
      <c r="V34" s="79"/>
      <c r="W34" s="79"/>
      <c r="Y34" s="77"/>
      <c r="Z34" s="77"/>
      <c r="AA34" s="77"/>
      <c r="AB34" s="77"/>
    </row>
    <row r="35" spans="1:28" s="76" customFormat="1" x14ac:dyDescent="0.25">
      <c r="A35" s="101"/>
      <c r="B35" s="102"/>
      <c r="C35" s="103"/>
      <c r="E35" s="80"/>
      <c r="F35" s="80"/>
      <c r="G35" s="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100"/>
      <c r="V35" s="79"/>
      <c r="W35" s="79"/>
      <c r="Y35" s="77"/>
      <c r="Z35" s="77"/>
      <c r="AA35" s="77"/>
      <c r="AB35" s="77"/>
    </row>
    <row r="36" spans="1:28" s="76" customFormat="1" x14ac:dyDescent="0.25">
      <c r="A36" s="101"/>
      <c r="B36" s="102"/>
      <c r="C36" s="103"/>
      <c r="E36" s="80"/>
      <c r="F36" s="80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100"/>
      <c r="V36" s="79"/>
      <c r="W36" s="79"/>
      <c r="Y36" s="77"/>
      <c r="Z36" s="77"/>
      <c r="AA36" s="77"/>
      <c r="AB36" s="77"/>
    </row>
    <row r="37" spans="1:28" s="76" customFormat="1" x14ac:dyDescent="0.25">
      <c r="A37" s="101"/>
      <c r="B37" s="102"/>
      <c r="C37" s="103"/>
      <c r="E37" s="80"/>
      <c r="F37" s="80"/>
      <c r="G37" s="8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100"/>
      <c r="V37" s="79"/>
      <c r="W37" s="79"/>
      <c r="Y37" s="77"/>
      <c r="Z37" s="77"/>
      <c r="AA37" s="77"/>
      <c r="AB37" s="77"/>
    </row>
    <row r="38" spans="1:28" s="76" customFormat="1" x14ac:dyDescent="0.25">
      <c r="A38" s="101"/>
      <c r="B38" s="102"/>
      <c r="C38" s="103"/>
      <c r="E38" s="80"/>
      <c r="F38" s="80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100"/>
      <c r="V38" s="79"/>
      <c r="W38" s="79"/>
      <c r="Y38" s="77"/>
      <c r="Z38" s="77"/>
      <c r="AA38" s="77"/>
      <c r="AB38" s="77"/>
    </row>
    <row r="39" spans="1:28" s="76" customFormat="1" x14ac:dyDescent="0.25">
      <c r="A39" s="101"/>
      <c r="B39" s="102"/>
      <c r="C39" s="103"/>
      <c r="E39" s="80"/>
      <c r="F39" s="80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100"/>
      <c r="V39" s="79"/>
      <c r="W39" s="79"/>
      <c r="Y39" s="77"/>
      <c r="Z39" s="77"/>
      <c r="AA39" s="77"/>
      <c r="AB39" s="77"/>
    </row>
    <row r="40" spans="1:28" s="76" customFormat="1" x14ac:dyDescent="0.25">
      <c r="A40" s="101"/>
      <c r="B40" s="102"/>
      <c r="C40" s="103"/>
      <c r="E40" s="80"/>
      <c r="F40" s="80"/>
      <c r="G40" s="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100"/>
      <c r="V40" s="79"/>
      <c r="W40" s="79"/>
      <c r="Y40" s="77"/>
      <c r="Z40" s="77"/>
      <c r="AA40" s="77"/>
      <c r="AB40" s="77"/>
    </row>
    <row r="41" spans="1:28" s="76" customFormat="1" x14ac:dyDescent="0.25">
      <c r="A41" s="101"/>
      <c r="B41" s="102"/>
      <c r="C41" s="103"/>
      <c r="E41" s="80"/>
      <c r="F41" s="80"/>
      <c r="G41" s="80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100"/>
      <c r="V41" s="79"/>
      <c r="W41" s="79"/>
      <c r="Y41" s="77"/>
      <c r="Z41" s="77"/>
      <c r="AA41" s="77"/>
      <c r="AB41" s="77"/>
    </row>
    <row r="42" spans="1:28" s="76" customFormat="1" x14ac:dyDescent="0.25">
      <c r="A42" s="101"/>
      <c r="B42" s="102"/>
      <c r="C42" s="103"/>
      <c r="E42" s="80"/>
      <c r="F42" s="80"/>
      <c r="G42" s="80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100"/>
      <c r="V42" s="79"/>
      <c r="W42" s="79"/>
      <c r="Y42" s="77"/>
      <c r="Z42" s="77"/>
      <c r="AA42" s="77"/>
      <c r="AB42" s="77"/>
    </row>
    <row r="43" spans="1:28" s="76" customFormat="1" x14ac:dyDescent="0.25">
      <c r="A43" s="101"/>
      <c r="B43" s="102"/>
      <c r="C43" s="103"/>
      <c r="E43" s="80"/>
      <c r="F43" s="80"/>
      <c r="G43" s="80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100"/>
      <c r="V43" s="79"/>
      <c r="W43" s="79"/>
      <c r="Y43" s="77"/>
      <c r="Z43" s="77"/>
      <c r="AA43" s="77"/>
      <c r="AB43" s="77"/>
    </row>
    <row r="44" spans="1:28" s="76" customFormat="1" x14ac:dyDescent="0.25">
      <c r="A44" s="101"/>
      <c r="B44" s="102"/>
      <c r="C44" s="103"/>
      <c r="E44" s="80"/>
      <c r="F44" s="80"/>
      <c r="G44" s="80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100"/>
      <c r="V44" s="79"/>
      <c r="W44" s="79"/>
      <c r="Y44" s="77"/>
      <c r="Z44" s="77"/>
      <c r="AA44" s="77"/>
      <c r="AB44" s="77"/>
    </row>
    <row r="45" spans="1:28" s="76" customFormat="1" x14ac:dyDescent="0.25">
      <c r="A45" s="101"/>
      <c r="B45" s="102"/>
      <c r="C45" s="103"/>
      <c r="E45" s="80"/>
      <c r="F45" s="80"/>
      <c r="G45" s="80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100"/>
      <c r="V45" s="79"/>
      <c r="W45" s="79"/>
      <c r="Y45" s="77"/>
      <c r="Z45" s="77"/>
      <c r="AA45" s="77"/>
      <c r="AB45" s="77"/>
    </row>
    <row r="46" spans="1:28" s="76" customFormat="1" x14ac:dyDescent="0.25">
      <c r="A46" s="101"/>
      <c r="B46" s="102"/>
      <c r="C46" s="103"/>
      <c r="E46" s="80"/>
      <c r="F46" s="80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100"/>
      <c r="V46" s="79"/>
      <c r="W46" s="79"/>
      <c r="Y46" s="77"/>
      <c r="Z46" s="77"/>
      <c r="AA46" s="77"/>
      <c r="AB46" s="77"/>
    </row>
    <row r="47" spans="1:28" s="76" customFormat="1" x14ac:dyDescent="0.25">
      <c r="A47" s="101"/>
      <c r="B47" s="102"/>
      <c r="C47" s="103"/>
      <c r="E47" s="80"/>
      <c r="F47" s="80"/>
      <c r="G47" s="80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100"/>
      <c r="V47" s="79"/>
      <c r="W47" s="79"/>
      <c r="Y47" s="77"/>
      <c r="Z47" s="77"/>
      <c r="AA47" s="77"/>
      <c r="AB47" s="77"/>
    </row>
    <row r="48" spans="1:28" s="76" customFormat="1" x14ac:dyDescent="0.25">
      <c r="A48" s="101"/>
      <c r="B48" s="102"/>
      <c r="C48" s="103"/>
      <c r="E48" s="80"/>
      <c r="F48" s="80"/>
      <c r="G48" s="80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100"/>
      <c r="V48" s="79"/>
      <c r="W48" s="79"/>
      <c r="Y48" s="77"/>
      <c r="Z48" s="77"/>
      <c r="AA48" s="77"/>
      <c r="AB48" s="77"/>
    </row>
    <row r="49" spans="1:28" s="76" customFormat="1" x14ac:dyDescent="0.25">
      <c r="A49" s="101"/>
      <c r="B49" s="102"/>
      <c r="C49" s="103"/>
      <c r="E49" s="80"/>
      <c r="F49" s="80"/>
      <c r="G49" s="80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100"/>
      <c r="V49" s="79"/>
      <c r="W49" s="79"/>
      <c r="Y49" s="77"/>
      <c r="Z49" s="77"/>
      <c r="AA49" s="77"/>
      <c r="AB49" s="77"/>
    </row>
    <row r="50" spans="1:28" s="76" customFormat="1" x14ac:dyDescent="0.25">
      <c r="A50" s="101"/>
      <c r="B50" s="102"/>
      <c r="C50" s="103"/>
      <c r="E50" s="80"/>
      <c r="F50" s="80"/>
      <c r="G50" s="80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100"/>
      <c r="V50" s="79"/>
      <c r="W50" s="79"/>
      <c r="Y50" s="77"/>
      <c r="Z50" s="77"/>
      <c r="AA50" s="77"/>
      <c r="AB50" s="77"/>
    </row>
    <row r="51" spans="1:28" s="76" customFormat="1" x14ac:dyDescent="0.25">
      <c r="A51" s="101"/>
      <c r="B51" s="102"/>
      <c r="C51" s="103"/>
      <c r="E51" s="80"/>
      <c r="F51" s="80"/>
      <c r="G51" s="80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100"/>
      <c r="V51" s="79"/>
      <c r="W51" s="79"/>
      <c r="Y51" s="77"/>
      <c r="Z51" s="77"/>
      <c r="AA51" s="77"/>
      <c r="AB51" s="77"/>
    </row>
    <row r="52" spans="1:28" s="76" customFormat="1" x14ac:dyDescent="0.25">
      <c r="A52" s="101"/>
      <c r="B52" s="102"/>
      <c r="C52" s="103"/>
      <c r="E52" s="80"/>
      <c r="F52" s="80"/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100"/>
      <c r="V52" s="79"/>
      <c r="W52" s="79"/>
      <c r="Y52" s="77"/>
      <c r="Z52" s="77"/>
      <c r="AA52" s="77"/>
      <c r="AB52" s="77"/>
    </row>
    <row r="53" spans="1:28" s="76" customFormat="1" x14ac:dyDescent="0.25">
      <c r="A53" s="101"/>
      <c r="B53" s="102"/>
      <c r="C53" s="103"/>
      <c r="E53" s="80"/>
      <c r="F53" s="80"/>
      <c r="G53" s="80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100"/>
      <c r="V53" s="79"/>
      <c r="W53" s="79"/>
      <c r="Y53" s="77"/>
      <c r="Z53" s="77"/>
      <c r="AA53" s="77"/>
      <c r="AB53" s="77"/>
    </row>
    <row r="54" spans="1:28" s="76" customFormat="1" x14ac:dyDescent="0.25">
      <c r="A54" s="101"/>
      <c r="B54" s="102"/>
      <c r="C54" s="103"/>
      <c r="E54" s="80"/>
      <c r="F54" s="80"/>
      <c r="G54" s="80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100"/>
      <c r="V54" s="79"/>
      <c r="W54" s="79"/>
      <c r="Y54" s="77"/>
      <c r="Z54" s="77"/>
      <c r="AA54" s="77"/>
      <c r="AB54" s="77"/>
    </row>
    <row r="55" spans="1:28" s="76" customFormat="1" x14ac:dyDescent="0.25">
      <c r="A55" s="101"/>
      <c r="B55" s="102"/>
      <c r="C55" s="103"/>
      <c r="E55" s="80"/>
      <c r="F55" s="80"/>
      <c r="G55" s="80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100"/>
      <c r="V55" s="79"/>
      <c r="W55" s="79"/>
      <c r="Y55" s="77"/>
      <c r="Z55" s="77"/>
      <c r="AA55" s="77"/>
      <c r="AB55" s="77"/>
    </row>
    <row r="56" spans="1:28" s="76" customFormat="1" x14ac:dyDescent="0.25">
      <c r="A56" s="101"/>
      <c r="B56" s="102"/>
      <c r="C56" s="103"/>
      <c r="E56" s="80"/>
      <c r="F56" s="80"/>
      <c r="G56" s="80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100"/>
      <c r="V56" s="79"/>
      <c r="W56" s="79"/>
      <c r="Y56" s="77"/>
      <c r="Z56" s="77"/>
      <c r="AA56" s="77"/>
      <c r="AB56" s="77"/>
    </row>
    <row r="57" spans="1:28" s="76" customFormat="1" x14ac:dyDescent="0.25">
      <c r="A57" s="101"/>
      <c r="B57" s="102"/>
      <c r="C57" s="103"/>
      <c r="E57" s="80"/>
      <c r="F57" s="80"/>
      <c r="G57" s="80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100"/>
      <c r="V57" s="79"/>
      <c r="W57" s="79"/>
      <c r="Y57" s="77"/>
      <c r="Z57" s="77"/>
      <c r="AA57" s="77"/>
      <c r="AB57" s="77"/>
    </row>
    <row r="58" spans="1:28" s="76" customFormat="1" x14ac:dyDescent="0.25">
      <c r="A58" s="101"/>
      <c r="B58" s="102"/>
      <c r="C58" s="103"/>
      <c r="E58" s="80"/>
      <c r="F58" s="80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100"/>
      <c r="V58" s="79"/>
      <c r="W58" s="79"/>
      <c r="Y58" s="77"/>
      <c r="Z58" s="77"/>
      <c r="AA58" s="77"/>
      <c r="AB58" s="77"/>
    </row>
    <row r="59" spans="1:28" s="76" customFormat="1" x14ac:dyDescent="0.25">
      <c r="A59" s="101"/>
      <c r="B59" s="102"/>
      <c r="C59" s="103"/>
      <c r="E59" s="80"/>
      <c r="F59" s="80"/>
      <c r="G59" s="80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100"/>
      <c r="V59" s="79"/>
      <c r="W59" s="79"/>
      <c r="Y59" s="77"/>
      <c r="Z59" s="77"/>
      <c r="AA59" s="77"/>
      <c r="AB59" s="77"/>
    </row>
    <row r="60" spans="1:28" s="76" customFormat="1" x14ac:dyDescent="0.25">
      <c r="A60" s="101"/>
      <c r="B60" s="102"/>
      <c r="C60" s="103"/>
      <c r="E60" s="80"/>
      <c r="F60" s="80"/>
      <c r="G60" s="80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100"/>
      <c r="V60" s="79"/>
      <c r="W60" s="79"/>
      <c r="Y60" s="77"/>
      <c r="Z60" s="77"/>
      <c r="AA60" s="77"/>
      <c r="AB60" s="77"/>
    </row>
    <row r="61" spans="1:28" s="76" customFormat="1" x14ac:dyDescent="0.25">
      <c r="A61" s="101"/>
      <c r="B61" s="102"/>
      <c r="C61" s="103"/>
      <c r="E61" s="80"/>
      <c r="F61" s="80"/>
      <c r="G61" s="80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100"/>
      <c r="V61" s="79"/>
      <c r="W61" s="79"/>
      <c r="Y61" s="77"/>
      <c r="Z61" s="77"/>
      <c r="AA61" s="77"/>
      <c r="AB61" s="77"/>
    </row>
    <row r="62" spans="1:28" s="76" customFormat="1" x14ac:dyDescent="0.25">
      <c r="A62" s="101"/>
      <c r="B62" s="102"/>
      <c r="C62" s="103"/>
      <c r="E62" s="80"/>
      <c r="F62" s="80"/>
      <c r="G62" s="80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100"/>
      <c r="V62" s="79"/>
      <c r="W62" s="79"/>
      <c r="Y62" s="77"/>
      <c r="Z62" s="77"/>
      <c r="AA62" s="77"/>
      <c r="AB62" s="77"/>
    </row>
    <row r="63" spans="1:28" s="76" customFormat="1" x14ac:dyDescent="0.25">
      <c r="A63" s="101"/>
      <c r="B63" s="102"/>
      <c r="C63" s="103"/>
      <c r="E63" s="80"/>
      <c r="F63" s="80"/>
      <c r="G63" s="80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100"/>
      <c r="V63" s="79"/>
      <c r="W63" s="79"/>
      <c r="Y63" s="77"/>
      <c r="Z63" s="77"/>
      <c r="AA63" s="77"/>
      <c r="AB63" s="77"/>
    </row>
    <row r="64" spans="1:28" s="76" customFormat="1" x14ac:dyDescent="0.25">
      <c r="A64" s="101"/>
      <c r="B64" s="102"/>
      <c r="C64" s="103"/>
      <c r="E64" s="80"/>
      <c r="F64" s="80"/>
      <c r="G64" s="80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100"/>
      <c r="V64" s="79"/>
      <c r="W64" s="79"/>
      <c r="Y64" s="77"/>
      <c r="Z64" s="77"/>
      <c r="AA64" s="77"/>
      <c r="AB64" s="77"/>
    </row>
    <row r="65" spans="1:28" s="76" customFormat="1" x14ac:dyDescent="0.25">
      <c r="A65" s="101"/>
      <c r="B65" s="102"/>
      <c r="C65" s="103"/>
      <c r="E65" s="80"/>
      <c r="F65" s="80"/>
      <c r="G65" s="80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100"/>
      <c r="V65" s="79"/>
      <c r="W65" s="79"/>
      <c r="Y65" s="77"/>
      <c r="Z65" s="77"/>
      <c r="AA65" s="77"/>
      <c r="AB65" s="77"/>
    </row>
    <row r="66" spans="1:28" s="76" customFormat="1" x14ac:dyDescent="0.25">
      <c r="A66" s="101"/>
      <c r="B66" s="102"/>
      <c r="C66" s="103"/>
      <c r="E66" s="80"/>
      <c r="F66" s="80"/>
      <c r="G66" s="80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100"/>
      <c r="V66" s="79"/>
      <c r="W66" s="79"/>
      <c r="Y66" s="77"/>
      <c r="Z66" s="77"/>
      <c r="AA66" s="77"/>
      <c r="AB66" s="77"/>
    </row>
    <row r="67" spans="1:28" s="76" customFormat="1" x14ac:dyDescent="0.25">
      <c r="A67" s="101"/>
      <c r="B67" s="102"/>
      <c r="C67" s="103"/>
      <c r="E67" s="80"/>
      <c r="F67" s="80"/>
      <c r="G67" s="80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100"/>
      <c r="V67" s="79"/>
      <c r="W67" s="79"/>
      <c r="Y67" s="77"/>
      <c r="Z67" s="77"/>
      <c r="AA67" s="77"/>
      <c r="AB67" s="77"/>
    </row>
    <row r="68" spans="1:28" s="76" customFormat="1" x14ac:dyDescent="0.25">
      <c r="A68" s="101"/>
      <c r="B68" s="102"/>
      <c r="C68" s="103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100"/>
      <c r="V68" s="79"/>
      <c r="W68" s="79"/>
      <c r="Y68" s="77"/>
      <c r="Z68" s="77"/>
      <c r="AA68" s="77"/>
      <c r="AB68" s="77"/>
    </row>
    <row r="69" spans="1:28" s="76" customFormat="1" x14ac:dyDescent="0.25">
      <c r="A69" s="101"/>
      <c r="B69" s="102"/>
      <c r="C69" s="103"/>
      <c r="E69" s="80"/>
      <c r="F69" s="80"/>
      <c r="G69" s="80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100"/>
      <c r="V69" s="79"/>
      <c r="W69" s="79"/>
      <c r="Y69" s="77"/>
      <c r="Z69" s="77"/>
      <c r="AA69" s="77"/>
      <c r="AB69" s="77"/>
    </row>
    <row r="70" spans="1:28" s="76" customFormat="1" x14ac:dyDescent="0.25">
      <c r="A70" s="101"/>
      <c r="B70" s="102"/>
      <c r="C70" s="103"/>
      <c r="E70" s="80"/>
      <c r="F70" s="80"/>
      <c r="G70" s="80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100"/>
      <c r="V70" s="79"/>
      <c r="W70" s="79"/>
      <c r="Y70" s="77"/>
      <c r="Z70" s="77"/>
      <c r="AA70" s="77"/>
      <c r="AB70" s="77"/>
    </row>
    <row r="71" spans="1:28" s="76" customFormat="1" x14ac:dyDescent="0.25">
      <c r="A71" s="101"/>
      <c r="B71" s="102"/>
      <c r="C71" s="103"/>
      <c r="E71" s="80"/>
      <c r="F71" s="80"/>
      <c r="G71" s="80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100"/>
      <c r="V71" s="79"/>
      <c r="W71" s="79"/>
      <c r="Y71" s="77"/>
      <c r="Z71" s="77"/>
      <c r="AA71" s="77"/>
      <c r="AB71" s="77"/>
    </row>
    <row r="72" spans="1:28" s="76" customFormat="1" x14ac:dyDescent="0.25">
      <c r="A72" s="101"/>
      <c r="B72" s="102"/>
      <c r="C72" s="103"/>
      <c r="E72" s="80"/>
      <c r="F72" s="80"/>
      <c r="G72" s="80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100"/>
      <c r="V72" s="79"/>
      <c r="W72" s="79"/>
      <c r="Y72" s="77"/>
      <c r="Z72" s="77"/>
      <c r="AA72" s="77"/>
      <c r="AB72" s="77"/>
    </row>
    <row r="73" spans="1:28" s="76" customFormat="1" x14ac:dyDescent="0.25">
      <c r="A73" s="101"/>
      <c r="B73" s="102"/>
      <c r="C73" s="103"/>
      <c r="E73" s="80"/>
      <c r="F73" s="80"/>
      <c r="G73" s="80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100"/>
      <c r="V73" s="79"/>
      <c r="W73" s="79"/>
      <c r="Y73" s="77"/>
      <c r="Z73" s="77"/>
      <c r="AA73" s="77"/>
      <c r="AB73" s="77"/>
    </row>
    <row r="74" spans="1:28" s="76" customFormat="1" x14ac:dyDescent="0.25">
      <c r="A74" s="101"/>
      <c r="B74" s="102"/>
      <c r="C74" s="103"/>
      <c r="E74" s="80"/>
      <c r="F74" s="80"/>
      <c r="G74" s="80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100"/>
      <c r="V74" s="79"/>
      <c r="W74" s="79"/>
      <c r="Y74" s="77"/>
      <c r="Z74" s="77"/>
      <c r="AA74" s="77"/>
      <c r="AB74" s="77"/>
    </row>
    <row r="75" spans="1:28" s="76" customFormat="1" x14ac:dyDescent="0.25">
      <c r="A75" s="101"/>
      <c r="B75" s="102"/>
      <c r="C75" s="103"/>
      <c r="E75" s="80"/>
      <c r="F75" s="80"/>
      <c r="G75" s="80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100"/>
      <c r="V75" s="79"/>
      <c r="W75" s="79"/>
      <c r="Y75" s="77"/>
      <c r="Z75" s="77"/>
      <c r="AA75" s="77"/>
      <c r="AB75" s="77"/>
    </row>
    <row r="76" spans="1:28" s="76" customFormat="1" x14ac:dyDescent="0.25">
      <c r="A76" s="101"/>
      <c r="B76" s="102"/>
      <c r="C76" s="103"/>
      <c r="E76" s="80"/>
      <c r="F76" s="80"/>
      <c r="G76" s="80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100"/>
      <c r="V76" s="79"/>
      <c r="W76" s="79"/>
      <c r="Y76" s="77"/>
      <c r="Z76" s="77"/>
      <c r="AA76" s="77"/>
      <c r="AB76" s="77"/>
    </row>
    <row r="77" spans="1:28" s="76" customFormat="1" x14ac:dyDescent="0.25">
      <c r="A77" s="101"/>
      <c r="B77" s="102"/>
      <c r="C77" s="103"/>
      <c r="E77" s="80"/>
      <c r="F77" s="80"/>
      <c r="G77" s="80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100"/>
      <c r="V77" s="79"/>
      <c r="W77" s="79"/>
      <c r="Y77" s="77"/>
      <c r="Z77" s="77"/>
      <c r="AA77" s="77"/>
      <c r="AB77" s="77"/>
    </row>
    <row r="78" spans="1:28" s="76" customFormat="1" x14ac:dyDescent="0.25">
      <c r="A78" s="101"/>
      <c r="B78" s="102"/>
      <c r="C78" s="103"/>
      <c r="E78" s="80"/>
      <c r="F78" s="80"/>
      <c r="G78" s="80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100"/>
      <c r="V78" s="79"/>
      <c r="W78" s="79"/>
      <c r="Y78" s="77"/>
      <c r="Z78" s="77"/>
      <c r="AA78" s="77"/>
      <c r="AB78" s="77"/>
    </row>
    <row r="79" spans="1:28" s="76" customFormat="1" x14ac:dyDescent="0.25">
      <c r="A79" s="101"/>
      <c r="B79" s="102"/>
      <c r="C79" s="103"/>
      <c r="E79" s="80"/>
      <c r="F79" s="80"/>
      <c r="G79" s="80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100"/>
      <c r="V79" s="79"/>
      <c r="W79" s="79"/>
      <c r="Y79" s="77"/>
      <c r="Z79" s="77"/>
      <c r="AA79" s="77"/>
      <c r="AB79" s="77"/>
    </row>
    <row r="80" spans="1:28" s="76" customFormat="1" x14ac:dyDescent="0.25">
      <c r="A80" s="101"/>
      <c r="B80" s="102"/>
      <c r="C80" s="103"/>
      <c r="E80" s="80"/>
      <c r="F80" s="80"/>
      <c r="G80" s="80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100"/>
      <c r="V80" s="79"/>
      <c r="W80" s="79"/>
      <c r="Y80" s="77"/>
      <c r="Z80" s="77"/>
      <c r="AA80" s="77"/>
      <c r="AB80" s="77"/>
    </row>
    <row r="81" spans="1:28" s="76" customFormat="1" x14ac:dyDescent="0.25">
      <c r="A81" s="101"/>
      <c r="B81" s="102"/>
      <c r="C81" s="103"/>
      <c r="E81" s="80"/>
      <c r="F81" s="80"/>
      <c r="G81" s="80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100"/>
      <c r="V81" s="79"/>
      <c r="W81" s="79"/>
      <c r="Y81" s="77"/>
      <c r="Z81" s="77"/>
      <c r="AA81" s="77"/>
      <c r="AB81" s="77"/>
    </row>
    <row r="82" spans="1:28" s="76" customFormat="1" x14ac:dyDescent="0.25">
      <c r="A82" s="101"/>
      <c r="B82" s="102"/>
      <c r="C82" s="103"/>
      <c r="E82" s="80"/>
      <c r="F82" s="80"/>
      <c r="G82" s="80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100"/>
      <c r="V82" s="79"/>
      <c r="W82" s="79"/>
      <c r="Y82" s="77"/>
      <c r="Z82" s="77"/>
      <c r="AA82" s="77"/>
      <c r="AB82" s="77"/>
    </row>
    <row r="83" spans="1:28" s="76" customFormat="1" x14ac:dyDescent="0.25">
      <c r="A83" s="101"/>
      <c r="B83" s="102"/>
      <c r="C83" s="103"/>
      <c r="E83" s="80"/>
      <c r="F83" s="80"/>
      <c r="G83" s="80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100"/>
      <c r="V83" s="79"/>
      <c r="W83" s="79"/>
      <c r="Y83" s="77"/>
      <c r="Z83" s="77"/>
      <c r="AA83" s="77"/>
      <c r="AB83" s="77"/>
    </row>
    <row r="84" spans="1:28" s="76" customFormat="1" x14ac:dyDescent="0.25">
      <c r="A84" s="101"/>
      <c r="B84" s="102"/>
      <c r="C84" s="103"/>
      <c r="E84" s="80"/>
      <c r="F84" s="80"/>
      <c r="G84" s="80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100"/>
      <c r="V84" s="79"/>
      <c r="W84" s="79"/>
      <c r="Y84" s="77"/>
      <c r="Z84" s="77"/>
      <c r="AA84" s="77"/>
      <c r="AB84" s="77"/>
    </row>
    <row r="85" spans="1:28" s="76" customFormat="1" x14ac:dyDescent="0.25">
      <c r="A85" s="101"/>
      <c r="B85" s="102"/>
      <c r="C85" s="103"/>
      <c r="E85" s="80"/>
      <c r="F85" s="80"/>
      <c r="G85" s="80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100"/>
      <c r="V85" s="79"/>
      <c r="W85" s="79"/>
      <c r="Y85" s="77"/>
      <c r="Z85" s="77"/>
      <c r="AA85" s="77"/>
      <c r="AB85" s="77"/>
    </row>
    <row r="86" spans="1:28" s="76" customFormat="1" x14ac:dyDescent="0.25">
      <c r="A86" s="101"/>
      <c r="B86" s="102"/>
      <c r="C86" s="103"/>
      <c r="E86" s="80"/>
      <c r="F86" s="80"/>
      <c r="G86" s="80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100"/>
      <c r="V86" s="79"/>
      <c r="W86" s="79"/>
      <c r="Y86" s="77"/>
      <c r="Z86" s="77"/>
      <c r="AA86" s="77"/>
      <c r="AB86" s="77"/>
    </row>
    <row r="87" spans="1:28" s="76" customFormat="1" x14ac:dyDescent="0.25">
      <c r="A87" s="101"/>
      <c r="B87" s="102"/>
      <c r="C87" s="103"/>
      <c r="E87" s="80"/>
      <c r="F87" s="80"/>
      <c r="G87" s="80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100"/>
      <c r="V87" s="79"/>
      <c r="W87" s="79"/>
      <c r="Y87" s="77"/>
      <c r="Z87" s="77"/>
      <c r="AA87" s="77"/>
      <c r="AB87" s="77"/>
    </row>
    <row r="88" spans="1:28" s="76" customFormat="1" x14ac:dyDescent="0.25">
      <c r="A88" s="101"/>
      <c r="B88" s="102"/>
      <c r="C88" s="103"/>
      <c r="E88" s="80"/>
      <c r="F88" s="80"/>
      <c r="G88" s="80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100"/>
      <c r="V88" s="79"/>
      <c r="W88" s="79"/>
      <c r="Y88" s="77"/>
      <c r="Z88" s="77"/>
      <c r="AA88" s="77"/>
      <c r="AB88" s="77"/>
    </row>
    <row r="89" spans="1:28" s="76" customFormat="1" x14ac:dyDescent="0.25">
      <c r="A89" s="101"/>
      <c r="B89" s="102"/>
      <c r="C89" s="103"/>
      <c r="E89" s="80"/>
      <c r="F89" s="80"/>
      <c r="G89" s="80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100"/>
      <c r="V89" s="79"/>
      <c r="W89" s="79"/>
      <c r="Y89" s="77"/>
      <c r="Z89" s="77"/>
      <c r="AA89" s="77"/>
      <c r="AB89" s="77"/>
    </row>
    <row r="90" spans="1:28" s="76" customFormat="1" x14ac:dyDescent="0.25">
      <c r="A90" s="101"/>
      <c r="B90" s="102"/>
      <c r="C90" s="103"/>
      <c r="E90" s="80"/>
      <c r="F90" s="80"/>
      <c r="G90" s="80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100"/>
      <c r="V90" s="79"/>
      <c r="W90" s="79"/>
      <c r="Y90" s="77"/>
      <c r="Z90" s="77"/>
      <c r="AA90" s="77"/>
      <c r="AB90" s="77"/>
    </row>
    <row r="91" spans="1:28" s="76" customFormat="1" x14ac:dyDescent="0.25">
      <c r="A91" s="101"/>
      <c r="B91" s="102"/>
      <c r="C91" s="103"/>
      <c r="E91" s="80"/>
      <c r="F91" s="80"/>
      <c r="G91" s="80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100"/>
      <c r="V91" s="79"/>
      <c r="W91" s="79"/>
      <c r="Y91" s="77"/>
      <c r="Z91" s="77"/>
      <c r="AA91" s="77"/>
      <c r="AB91" s="77"/>
    </row>
    <row r="92" spans="1:28" s="76" customFormat="1" x14ac:dyDescent="0.25">
      <c r="A92" s="101"/>
      <c r="B92" s="102"/>
      <c r="C92" s="103"/>
      <c r="E92" s="80"/>
      <c r="F92" s="80"/>
      <c r="G92" s="80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100"/>
      <c r="V92" s="79"/>
      <c r="W92" s="79"/>
      <c r="Y92" s="77"/>
      <c r="Z92" s="77"/>
      <c r="AA92" s="77"/>
      <c r="AB92" s="77"/>
    </row>
    <row r="93" spans="1:28" s="76" customFormat="1" x14ac:dyDescent="0.25">
      <c r="A93" s="101"/>
      <c r="B93" s="102"/>
      <c r="C93" s="103"/>
      <c r="E93" s="80"/>
      <c r="F93" s="80"/>
      <c r="G93" s="80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100"/>
      <c r="V93" s="79"/>
      <c r="W93" s="79"/>
      <c r="Y93" s="77"/>
      <c r="Z93" s="77"/>
      <c r="AA93" s="77"/>
      <c r="AB93" s="77"/>
    </row>
    <row r="94" spans="1:28" s="76" customFormat="1" x14ac:dyDescent="0.25">
      <c r="A94" s="101"/>
      <c r="B94" s="102"/>
      <c r="C94" s="103"/>
      <c r="E94" s="80"/>
      <c r="F94" s="80"/>
      <c r="G94" s="80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100"/>
      <c r="V94" s="79"/>
      <c r="W94" s="79"/>
      <c r="Y94" s="77"/>
      <c r="Z94" s="77"/>
      <c r="AA94" s="77"/>
      <c r="AB94" s="77"/>
    </row>
    <row r="95" spans="1:28" s="76" customFormat="1" x14ac:dyDescent="0.25">
      <c r="A95" s="101"/>
      <c r="B95" s="102"/>
      <c r="C95" s="103"/>
      <c r="E95" s="80"/>
      <c r="F95" s="80"/>
      <c r="G95" s="80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100"/>
      <c r="V95" s="79"/>
      <c r="W95" s="79"/>
      <c r="Y95" s="77"/>
      <c r="Z95" s="77"/>
      <c r="AA95" s="77"/>
      <c r="AB95" s="77"/>
    </row>
    <row r="96" spans="1:28" s="76" customFormat="1" x14ac:dyDescent="0.25">
      <c r="A96" s="101"/>
      <c r="B96" s="102"/>
      <c r="C96" s="103"/>
      <c r="E96" s="80"/>
      <c r="F96" s="80"/>
      <c r="G96" s="80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100"/>
      <c r="V96" s="79"/>
      <c r="W96" s="79"/>
      <c r="Y96" s="77"/>
      <c r="Z96" s="77"/>
      <c r="AA96" s="77"/>
      <c r="AB96" s="77"/>
    </row>
    <row r="97" spans="1:28" s="76" customFormat="1" x14ac:dyDescent="0.25">
      <c r="A97" s="101"/>
      <c r="B97" s="102"/>
      <c r="C97" s="103"/>
      <c r="E97" s="80"/>
      <c r="F97" s="80"/>
      <c r="G97" s="80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100"/>
      <c r="V97" s="79"/>
      <c r="W97" s="79"/>
      <c r="Y97" s="77"/>
      <c r="Z97" s="77"/>
      <c r="AA97" s="77"/>
      <c r="AB97" s="77"/>
    </row>
    <row r="98" spans="1:28" s="76" customFormat="1" x14ac:dyDescent="0.25">
      <c r="A98" s="101"/>
      <c r="B98" s="102"/>
      <c r="C98" s="103"/>
      <c r="E98" s="80"/>
      <c r="F98" s="80"/>
      <c r="G98" s="80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100"/>
      <c r="V98" s="79"/>
      <c r="W98" s="79"/>
      <c r="Y98" s="77"/>
      <c r="Z98" s="77"/>
      <c r="AA98" s="77"/>
      <c r="AB98" s="77"/>
    </row>
    <row r="99" spans="1:28" s="76" customFormat="1" x14ac:dyDescent="0.25">
      <c r="A99" s="101"/>
      <c r="B99" s="102"/>
      <c r="C99" s="103"/>
      <c r="E99" s="80"/>
      <c r="F99" s="80"/>
      <c r="G99" s="80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100"/>
      <c r="V99" s="79"/>
      <c r="W99" s="79"/>
      <c r="Y99" s="77"/>
      <c r="Z99" s="77"/>
      <c r="AA99" s="77"/>
      <c r="AB99" s="77"/>
    </row>
    <row r="100" spans="1:28" s="76" customFormat="1" x14ac:dyDescent="0.25">
      <c r="A100" s="101"/>
      <c r="B100" s="102"/>
      <c r="C100" s="103"/>
      <c r="E100" s="80"/>
      <c r="F100" s="80"/>
      <c r="G100" s="80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100"/>
      <c r="V100" s="79"/>
      <c r="W100" s="79"/>
      <c r="Y100" s="77"/>
      <c r="Z100" s="77"/>
      <c r="AA100" s="77"/>
      <c r="AB100" s="77"/>
    </row>
    <row r="101" spans="1:28" s="76" customFormat="1" x14ac:dyDescent="0.25">
      <c r="A101" s="101"/>
      <c r="B101" s="102"/>
      <c r="C101" s="103"/>
      <c r="E101" s="80"/>
      <c r="F101" s="80"/>
      <c r="G101" s="80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100"/>
      <c r="V101" s="79"/>
      <c r="W101" s="79"/>
      <c r="Y101" s="77"/>
      <c r="Z101" s="77"/>
      <c r="AA101" s="77"/>
      <c r="AB101" s="77"/>
    </row>
    <row r="102" spans="1:28" s="76" customFormat="1" x14ac:dyDescent="0.25">
      <c r="A102" s="101"/>
      <c r="B102" s="102"/>
      <c r="C102" s="103"/>
      <c r="E102" s="80"/>
      <c r="F102" s="80"/>
      <c r="G102" s="80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100"/>
      <c r="V102" s="79"/>
      <c r="W102" s="79"/>
      <c r="Y102" s="77"/>
      <c r="Z102" s="77"/>
      <c r="AA102" s="77"/>
      <c r="AB102" s="77"/>
    </row>
    <row r="103" spans="1:28" s="76" customFormat="1" x14ac:dyDescent="0.25">
      <c r="A103" s="101"/>
      <c r="B103" s="102"/>
      <c r="C103" s="103"/>
      <c r="E103" s="80"/>
      <c r="F103" s="80"/>
      <c r="G103" s="80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100"/>
      <c r="V103" s="79"/>
      <c r="W103" s="79"/>
      <c r="Y103" s="77"/>
      <c r="Z103" s="77"/>
      <c r="AA103" s="77"/>
      <c r="AB103" s="77"/>
    </row>
    <row r="104" spans="1:28" s="76" customFormat="1" x14ac:dyDescent="0.25">
      <c r="A104" s="101"/>
      <c r="B104" s="102"/>
      <c r="C104" s="103"/>
      <c r="E104" s="80"/>
      <c r="F104" s="80"/>
      <c r="G104" s="80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100"/>
      <c r="V104" s="79"/>
      <c r="W104" s="79"/>
      <c r="Y104" s="77"/>
      <c r="Z104" s="77"/>
      <c r="AA104" s="77"/>
      <c r="AB104" s="77"/>
    </row>
    <row r="105" spans="1:28" s="76" customFormat="1" x14ac:dyDescent="0.25">
      <c r="A105" s="101"/>
      <c r="B105" s="102"/>
      <c r="C105" s="103"/>
      <c r="E105" s="80"/>
      <c r="F105" s="80"/>
      <c r="G105" s="80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100"/>
      <c r="V105" s="79"/>
      <c r="W105" s="79"/>
      <c r="Y105" s="77"/>
      <c r="Z105" s="77"/>
      <c r="AA105" s="77"/>
      <c r="AB105" s="77"/>
    </row>
    <row r="106" spans="1:28" s="76" customFormat="1" x14ac:dyDescent="0.25">
      <c r="A106" s="101"/>
      <c r="B106" s="102"/>
      <c r="C106" s="103"/>
      <c r="E106" s="80"/>
      <c r="F106" s="80"/>
      <c r="G106" s="80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100"/>
      <c r="V106" s="79"/>
      <c r="W106" s="79"/>
      <c r="Y106" s="77"/>
      <c r="Z106" s="77"/>
      <c r="AA106" s="77"/>
      <c r="AB106" s="77"/>
    </row>
    <row r="107" spans="1:28" s="76" customFormat="1" x14ac:dyDescent="0.25">
      <c r="A107" s="101"/>
      <c r="B107" s="102"/>
      <c r="C107" s="103"/>
      <c r="E107" s="80"/>
      <c r="F107" s="80"/>
      <c r="G107" s="80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100"/>
      <c r="V107" s="79"/>
      <c r="W107" s="79"/>
      <c r="Y107" s="77"/>
      <c r="Z107" s="77"/>
      <c r="AA107" s="77"/>
      <c r="AB107" s="77"/>
    </row>
    <row r="108" spans="1:28" s="76" customFormat="1" x14ac:dyDescent="0.25">
      <c r="A108" s="101"/>
      <c r="B108" s="102"/>
      <c r="C108" s="103"/>
      <c r="E108" s="80"/>
      <c r="F108" s="80"/>
      <c r="G108" s="80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100"/>
      <c r="V108" s="79"/>
      <c r="W108" s="79"/>
      <c r="Y108" s="77"/>
      <c r="Z108" s="77"/>
      <c r="AA108" s="77"/>
      <c r="AB108" s="77"/>
    </row>
    <row r="109" spans="1:28" s="76" customFormat="1" x14ac:dyDescent="0.25">
      <c r="A109" s="101"/>
      <c r="B109" s="102"/>
      <c r="C109" s="103"/>
      <c r="E109" s="80"/>
      <c r="F109" s="80"/>
      <c r="G109" s="80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100"/>
      <c r="V109" s="79"/>
      <c r="W109" s="79"/>
      <c r="Y109" s="77"/>
      <c r="Z109" s="77"/>
      <c r="AA109" s="77"/>
      <c r="AB109" s="77"/>
    </row>
    <row r="110" spans="1:28" s="76" customFormat="1" x14ac:dyDescent="0.25">
      <c r="A110" s="101"/>
      <c r="B110" s="102"/>
      <c r="C110" s="103"/>
      <c r="E110" s="80"/>
      <c r="F110" s="80"/>
      <c r="G110" s="80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100"/>
      <c r="V110" s="79"/>
      <c r="W110" s="79"/>
      <c r="Y110" s="77"/>
      <c r="Z110" s="77"/>
      <c r="AA110" s="77"/>
      <c r="AB110" s="77"/>
    </row>
    <row r="111" spans="1:28" s="76" customFormat="1" x14ac:dyDescent="0.25">
      <c r="A111" s="101"/>
      <c r="B111" s="102"/>
      <c r="C111" s="103"/>
      <c r="E111" s="80"/>
      <c r="F111" s="80"/>
      <c r="G111" s="80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100"/>
      <c r="V111" s="79"/>
      <c r="W111" s="79"/>
      <c r="Y111" s="77"/>
      <c r="Z111" s="77"/>
      <c r="AA111" s="77"/>
      <c r="AB111" s="77"/>
    </row>
    <row r="112" spans="1:28" s="76" customFormat="1" x14ac:dyDescent="0.25">
      <c r="A112" s="101"/>
      <c r="B112" s="102"/>
      <c r="C112" s="103"/>
      <c r="E112" s="80"/>
      <c r="F112" s="80"/>
      <c r="G112" s="80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100"/>
      <c r="V112" s="79"/>
      <c r="W112" s="79"/>
      <c r="Y112" s="77"/>
      <c r="Z112" s="77"/>
      <c r="AA112" s="77"/>
      <c r="AB112" s="77"/>
    </row>
    <row r="113" spans="1:28" s="76" customFormat="1" x14ac:dyDescent="0.25">
      <c r="A113" s="101"/>
      <c r="B113" s="102"/>
      <c r="C113" s="103"/>
      <c r="E113" s="80"/>
      <c r="F113" s="80"/>
      <c r="G113" s="80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100"/>
      <c r="V113" s="79"/>
      <c r="W113" s="79"/>
      <c r="Y113" s="77"/>
      <c r="Z113" s="77"/>
      <c r="AA113" s="77"/>
      <c r="AB113" s="77"/>
    </row>
    <row r="114" spans="1:28" s="76" customFormat="1" x14ac:dyDescent="0.25">
      <c r="A114" s="101"/>
      <c r="B114" s="102"/>
      <c r="C114" s="103"/>
      <c r="E114" s="80"/>
      <c r="F114" s="80"/>
      <c r="G114" s="80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100"/>
      <c r="V114" s="79"/>
      <c r="W114" s="79"/>
      <c r="Y114" s="77"/>
      <c r="Z114" s="77"/>
      <c r="AA114" s="77"/>
      <c r="AB114" s="77"/>
    </row>
    <row r="115" spans="1:28" s="76" customFormat="1" x14ac:dyDescent="0.25">
      <c r="A115" s="101"/>
      <c r="B115" s="102"/>
      <c r="C115" s="103"/>
      <c r="E115" s="80"/>
      <c r="F115" s="80"/>
      <c r="G115" s="80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100"/>
      <c r="V115" s="79"/>
      <c r="W115" s="79"/>
      <c r="Y115" s="77"/>
      <c r="Z115" s="77"/>
      <c r="AA115" s="77"/>
      <c r="AB115" s="77"/>
    </row>
    <row r="116" spans="1:28" s="76" customFormat="1" x14ac:dyDescent="0.25">
      <c r="A116" s="101"/>
      <c r="B116" s="102"/>
      <c r="C116" s="103"/>
      <c r="E116" s="80"/>
      <c r="F116" s="80"/>
      <c r="G116" s="80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100"/>
      <c r="V116" s="79"/>
      <c r="W116" s="79"/>
      <c r="Y116" s="77"/>
      <c r="Z116" s="77"/>
      <c r="AA116" s="77"/>
      <c r="AB116" s="77"/>
    </row>
    <row r="117" spans="1:28" s="76" customFormat="1" x14ac:dyDescent="0.25">
      <c r="A117" s="101"/>
      <c r="B117" s="102"/>
      <c r="C117" s="103"/>
      <c r="E117" s="80"/>
      <c r="F117" s="80"/>
      <c r="G117" s="80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100"/>
      <c r="V117" s="79"/>
      <c r="W117" s="79"/>
      <c r="Y117" s="77"/>
      <c r="Z117" s="77"/>
      <c r="AA117" s="77"/>
      <c r="AB117" s="77"/>
    </row>
    <row r="118" spans="1:28" s="76" customFormat="1" x14ac:dyDescent="0.25">
      <c r="A118" s="101"/>
      <c r="B118" s="102"/>
      <c r="C118" s="103"/>
      <c r="E118" s="80"/>
      <c r="F118" s="80"/>
      <c r="G118" s="80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100"/>
      <c r="V118" s="79"/>
      <c r="W118" s="79"/>
      <c r="Y118" s="77"/>
      <c r="Z118" s="77"/>
      <c r="AA118" s="77"/>
      <c r="AB118" s="77"/>
    </row>
    <row r="119" spans="1:28" s="76" customFormat="1" x14ac:dyDescent="0.25">
      <c r="A119" s="101"/>
      <c r="B119" s="102"/>
      <c r="C119" s="103"/>
      <c r="E119" s="80"/>
      <c r="F119" s="80"/>
      <c r="G119" s="80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100"/>
      <c r="V119" s="79"/>
      <c r="W119" s="79"/>
      <c r="Y119" s="77"/>
      <c r="Z119" s="77"/>
      <c r="AA119" s="77"/>
      <c r="AB119" s="77"/>
    </row>
    <row r="120" spans="1:28" s="76" customFormat="1" x14ac:dyDescent="0.25">
      <c r="A120" s="101"/>
      <c r="B120" s="102"/>
      <c r="C120" s="103"/>
      <c r="E120" s="80"/>
      <c r="F120" s="80"/>
      <c r="G120" s="80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100"/>
      <c r="V120" s="79"/>
      <c r="W120" s="79"/>
      <c r="Y120" s="77"/>
      <c r="Z120" s="77"/>
      <c r="AA120" s="77"/>
      <c r="AB120" s="77"/>
    </row>
    <row r="121" spans="1:28" s="76" customFormat="1" x14ac:dyDescent="0.25">
      <c r="A121" s="101"/>
      <c r="B121" s="102"/>
      <c r="C121" s="103"/>
      <c r="E121" s="80"/>
      <c r="F121" s="80"/>
      <c r="G121" s="80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100"/>
      <c r="V121" s="79"/>
      <c r="W121" s="79"/>
      <c r="Y121" s="77"/>
      <c r="Z121" s="77"/>
      <c r="AA121" s="77"/>
      <c r="AB121" s="77"/>
    </row>
  </sheetData>
  <sheetProtection formatCells="0" formatColumns="0" formatRows="0"/>
  <mergeCells count="22">
    <mergeCell ref="B16:D16"/>
    <mergeCell ref="B12:D12"/>
    <mergeCell ref="B13:D13"/>
    <mergeCell ref="B14:D14"/>
    <mergeCell ref="B10:D10"/>
    <mergeCell ref="B11:D11"/>
    <mergeCell ref="B4:D4"/>
    <mergeCell ref="B5:D5"/>
    <mergeCell ref="B6:D6"/>
    <mergeCell ref="B3:D3"/>
    <mergeCell ref="B15:D15"/>
    <mergeCell ref="B8:D8"/>
    <mergeCell ref="B9:D9"/>
    <mergeCell ref="B7:D7"/>
    <mergeCell ref="L1:T1"/>
    <mergeCell ref="W1:W2"/>
    <mergeCell ref="Z1:AA1"/>
    <mergeCell ref="U1:V1"/>
    <mergeCell ref="A1:A2"/>
    <mergeCell ref="B1:D2"/>
    <mergeCell ref="X1:Y1"/>
    <mergeCell ref="E1:K1"/>
  </mergeCells>
  <pageMargins left="0.19685039370078741" right="0.27559055118110237" top="0.59055118110236227" bottom="0.35433070866141736" header="0.39370078740157483" footer="0.31496062992125984"/>
  <pageSetup paperSize="9" scale="38" orientation="landscape" r:id="rId1"/>
  <headerFooter alignWithMargins="0">
    <oddFooter>&amp;RСтор.  &amp;P</oddFooter>
  </headerFooter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1">
    <tabColor rgb="FF92D050"/>
  </sheetPr>
  <dimension ref="A1:AI51"/>
  <sheetViews>
    <sheetView showGridLines="0" topLeftCell="A3" zoomScale="70" zoomScaleNormal="70" zoomScalePageLayoutView="50" workbookViewId="0">
      <pane ySplit="1" topLeftCell="A4" activePane="bottomLeft" state="frozen"/>
      <selection activeCell="Q32" sqref="Q32"/>
      <selection pane="bottomLeft" activeCell="Q32" sqref="Q32"/>
    </sheetView>
  </sheetViews>
  <sheetFormatPr defaultColWidth="9.28515625" defaultRowHeight="18.75" x14ac:dyDescent="0.25"/>
  <cols>
    <col min="1" max="3" width="29.42578125" style="76" customWidth="1"/>
    <col min="4" max="4" width="32.5703125" style="76" customWidth="1"/>
    <col min="5" max="5" width="34.28515625" style="76" customWidth="1"/>
    <col min="6" max="6" width="26.7109375" style="76" customWidth="1"/>
    <col min="7" max="7" width="22.7109375" style="76" customWidth="1"/>
    <col min="8" max="8" width="26.7109375" style="76" customWidth="1"/>
    <col min="9" max="9" width="30.42578125" style="76" customWidth="1"/>
    <col min="10" max="11" width="26.7109375" style="76" customWidth="1"/>
    <col min="12" max="12" width="25" style="76" customWidth="1"/>
    <col min="13" max="13" width="28.5703125" style="76" customWidth="1"/>
    <col min="14" max="14" width="14.28515625" style="76" customWidth="1"/>
    <col min="15" max="23" width="8.7109375" style="76" customWidth="1"/>
    <col min="24" max="220" width="8.7109375" style="2" customWidth="1"/>
    <col min="221" max="221" width="78.5703125" style="2" customWidth="1"/>
    <col min="222" max="16384" width="9.28515625" style="2"/>
  </cols>
  <sheetData>
    <row r="1" spans="1:35" ht="27" customHeight="1" x14ac:dyDescent="0.25"/>
    <row r="2" spans="1:35" ht="22.35" customHeight="1" x14ac:dyDescent="0.25"/>
    <row r="3" spans="1:35" s="29" customFormat="1" ht="47.25" customHeight="1" x14ac:dyDescent="0.3">
      <c r="A3" s="430" t="s">
        <v>894</v>
      </c>
      <c r="B3" s="430"/>
      <c r="C3" s="430"/>
      <c r="D3" s="430" t="s">
        <v>894</v>
      </c>
      <c r="E3" s="430" t="s">
        <v>894</v>
      </c>
      <c r="F3" s="430" t="s">
        <v>894</v>
      </c>
      <c r="G3" s="430" t="s">
        <v>894</v>
      </c>
      <c r="H3" s="430" t="s">
        <v>894</v>
      </c>
      <c r="I3" s="430" t="str">
        <f>K3</f>
        <v>Таблиця 13. Деталізація оборотів по Дт 411, гривень</v>
      </c>
      <c r="J3" s="430"/>
      <c r="K3" s="430" t="str">
        <f>L3</f>
        <v>Таблиця 13. Деталізація оборотів по Дт 411, гривень</v>
      </c>
      <c r="L3" s="430" t="str">
        <f>'Звіт 10, 11,12,13,14'!A85</f>
        <v>Таблиця 13. Деталізація оборотів по Дт 411, гривень</v>
      </c>
      <c r="M3" s="430" t="str">
        <f>L3</f>
        <v>Таблиця 13. Деталізація оборотів по Дт 411, гривень</v>
      </c>
      <c r="N3" s="168"/>
      <c r="O3" s="168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35" s="29" customFormat="1" ht="45.75" customHeight="1" x14ac:dyDescent="0.25">
      <c r="A4" s="397" t="s">
        <v>419</v>
      </c>
      <c r="B4" s="1773" t="str">
        <f>'Звіт 10, 11,12,13,14'!K76</f>
        <v>12.1.1.</v>
      </c>
      <c r="C4" s="1774" t="str">
        <f>'Звіт 10, 11,12,13,14'!M76</f>
        <v>12.1.2.</v>
      </c>
      <c r="D4" s="397" t="s">
        <v>687</v>
      </c>
      <c r="E4" s="397" t="s">
        <v>750</v>
      </c>
      <c r="F4" s="397" t="s">
        <v>420</v>
      </c>
      <c r="G4" s="397" t="s">
        <v>421</v>
      </c>
      <c r="H4" s="397" t="s">
        <v>1114</v>
      </c>
      <c r="I4" s="397" t="s">
        <v>1185</v>
      </c>
      <c r="J4" s="397" t="s">
        <v>1185</v>
      </c>
      <c r="K4" s="312" t="s">
        <v>461</v>
      </c>
      <c r="L4" s="424" t="s">
        <v>923</v>
      </c>
      <c r="M4" s="424" t="s">
        <v>924</v>
      </c>
      <c r="N4" s="168"/>
      <c r="O4" s="168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35" s="24" customFormat="1" ht="34.5" customHeight="1" x14ac:dyDescent="0.25">
      <c r="A5" s="2664" t="s">
        <v>733</v>
      </c>
      <c r="B5" s="2807" t="str">
        <f>'Звіт 10, 11,12,13,14'!K75</f>
        <v>за кошти цільового фінансування (Дт 48 Кт 20*)</v>
      </c>
      <c r="C5" s="2807" t="str">
        <f>'Звіт 10, 11,12,13,14'!M75</f>
        <v>повернення пацієнту залишків лікарських засобів та/або медичних виробів ЦФ Пц ( Дт 37 Кт 20*, Дт 48 Кт 37)</v>
      </c>
      <c r="D5" s="2664" t="s">
        <v>734</v>
      </c>
      <c r="E5" s="2664" t="s">
        <v>751</v>
      </c>
      <c r="F5" s="2664" t="s">
        <v>627</v>
      </c>
      <c r="G5" s="2664" t="s">
        <v>628</v>
      </c>
      <c r="H5" s="2664" t="s">
        <v>735</v>
      </c>
      <c r="I5" s="2803" t="str">
        <f>'Звіт 10, 11,12,13,14'!D57</f>
        <v>1. Первісна вартість дооцінки проходить по Кт 411, а дооцінку зносу - по Дт 411
якщо варіант №1, то у комірці І56 по замовчанню стоїть  цифра 1, якщо варіант №2  - то у комірці І56 потрібно цифру 1 замінити на 0</v>
      </c>
      <c r="J5" s="2803" t="str">
        <f>'Звіт 10, 11,12,13,14'!D58</f>
        <v>2. Залишкова вартість дооцінки проходить по Кт 411
якщо варант №2, то поставте цифру 2 в комірку І 57</v>
      </c>
      <c r="K5" s="2806" t="str">
        <f>'Звіт 10, 11,12,13,14'!B86</f>
        <v>Всього по Дт 411 (р.Т11.1 гр.5)</v>
      </c>
      <c r="L5" s="2806" t="str">
        <f>'Звіт 10, 11,12,13,14'!B87</f>
        <v>ДООЦІНКА  ЗНОСУ в періоді 
варіант 1 (Дт 411 Кт 13)
варіант 2 (Дт 10 Кт 13)*</v>
      </c>
      <c r="M5" s="2806" t="str">
        <f>'Звіт 10, 11,12,13,14'!B88</f>
        <v>амортизація дооцінки (одночасно: Дт витратних рахунків Кт 13, Дт 411 Кт 441)  (р.Т10.3.3.2 + р. Т10.1.3.2. гр.14- Т13.2)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spans="1:35" s="24" customFormat="1" ht="45.75" customHeight="1" x14ac:dyDescent="0.25">
      <c r="A6" s="2664"/>
      <c r="B6" s="2807"/>
      <c r="C6" s="2807"/>
      <c r="D6" s="2664"/>
      <c r="E6" s="2664"/>
      <c r="F6" s="2664"/>
      <c r="G6" s="2664"/>
      <c r="H6" s="2664"/>
      <c r="I6" s="2804"/>
      <c r="J6" s="2804"/>
      <c r="K6" s="2806"/>
      <c r="L6" s="2806"/>
      <c r="M6" s="2806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</row>
    <row r="7" spans="1:35" s="24" customFormat="1" ht="57.75" customHeight="1" x14ac:dyDescent="0.25">
      <c r="A7" s="2664"/>
      <c r="B7" s="2807"/>
      <c r="C7" s="2807"/>
      <c r="D7" s="2664"/>
      <c r="E7" s="2664"/>
      <c r="F7" s="2664"/>
      <c r="G7" s="2664"/>
      <c r="H7" s="2664"/>
      <c r="I7" s="2804"/>
      <c r="J7" s="2804"/>
      <c r="K7" s="2806"/>
      <c r="L7" s="2806"/>
      <c r="M7" s="2806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</row>
    <row r="8" spans="1:35" s="9" customFormat="1" ht="35.25" customHeight="1" x14ac:dyDescent="0.25">
      <c r="A8" s="2664"/>
      <c r="B8" s="2807"/>
      <c r="C8" s="2807"/>
      <c r="D8" s="2664"/>
      <c r="E8" s="2664"/>
      <c r="F8" s="2664"/>
      <c r="G8" s="2664"/>
      <c r="H8" s="2664"/>
      <c r="I8" s="2805"/>
      <c r="J8" s="2805"/>
      <c r="K8" s="2806"/>
      <c r="L8" s="2806"/>
      <c r="M8" s="2806"/>
      <c r="N8" s="73"/>
      <c r="O8" s="73"/>
      <c r="P8" s="73"/>
      <c r="Q8" s="73"/>
    </row>
    <row r="9" spans="1:35" s="9" customFormat="1" ht="39.75" customHeight="1" x14ac:dyDescent="0.25">
      <c r="A9" s="268">
        <f>'Звіт 10, 11,12,13,14'!I77</f>
        <v>0</v>
      </c>
      <c r="B9" s="1775">
        <f>'Звіт 10, 11,12,13,14'!K77</f>
        <v>0</v>
      </c>
      <c r="C9" s="1775">
        <f>'Звіт 10, 11,12,13,14'!M77</f>
        <v>0</v>
      </c>
      <c r="D9" s="268">
        <f>'Звіт 10, 11,12,13,14'!I78</f>
        <v>0</v>
      </c>
      <c r="E9" s="268">
        <f>'Звіт 10, 11,12,13,14'!I79</f>
        <v>0</v>
      </c>
      <c r="F9" s="268">
        <f>'Звіт 10, 11,12,13,14'!I80</f>
        <v>381305</v>
      </c>
      <c r="G9" s="268">
        <f>'Звіт 10, 11,12,13,14'!I81</f>
        <v>0</v>
      </c>
      <c r="H9" s="268">
        <f>'Звіт 10, 11,12,13,14'!I82</f>
        <v>0</v>
      </c>
      <c r="I9" s="525">
        <f>'Звіт 10, 11,12,13,14'!K57</f>
        <v>1</v>
      </c>
      <c r="J9" s="525">
        <f>'Звіт 10, 11,12,13,14'!K58</f>
        <v>0</v>
      </c>
      <c r="K9" s="268">
        <f>'Звіт 10, 11,12,13,14'!G86</f>
        <v>0</v>
      </c>
      <c r="L9" s="268">
        <f>'Звіт 10, 11,12,13,14'!G87</f>
        <v>0</v>
      </c>
      <c r="M9" s="268">
        <f>'Звіт 10, 11,12,13,14'!G88</f>
        <v>0</v>
      </c>
      <c r="N9" s="91">
        <f>K9-L9-M9-H9</f>
        <v>0</v>
      </c>
      <c r="O9" s="73"/>
      <c r="P9" s="73"/>
      <c r="Q9" s="73"/>
    </row>
    <row r="10" spans="1:35" s="9" customFormat="1" ht="42" customHeight="1" x14ac:dyDescent="0.3">
      <c r="A10" s="398"/>
      <c r="B10" s="398"/>
      <c r="C10" s="398"/>
      <c r="D10" s="399"/>
      <c r="E10" s="171"/>
      <c r="F10" s="171"/>
      <c r="G10" s="171"/>
      <c r="H10" s="171"/>
      <c r="I10" s="171"/>
      <c r="J10" s="171"/>
      <c r="K10" s="172"/>
      <c r="L10" s="73"/>
      <c r="M10" s="73"/>
      <c r="N10" s="73"/>
      <c r="O10" s="73"/>
      <c r="P10" s="73"/>
      <c r="Q10" s="73"/>
    </row>
    <row r="11" spans="1:35" s="9" customFormat="1" ht="42" customHeight="1" x14ac:dyDescent="0.3">
      <c r="A11" s="398"/>
      <c r="B11" s="398"/>
      <c r="C11" s="398"/>
      <c r="D11" s="400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35" s="9" customFormat="1" ht="42" customHeight="1" x14ac:dyDescent="0.3">
      <c r="D12" s="400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35" s="9" customFormat="1" ht="58.9" customHeight="1" x14ac:dyDescent="0.25"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35" s="9" customFormat="1" ht="28.35" customHeight="1" x14ac:dyDescent="0.25">
      <c r="D14" s="212"/>
      <c r="E14" s="212"/>
      <c r="F14" s="132"/>
      <c r="G14" s="76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35" s="9" customFormat="1" ht="33" customHeight="1" x14ac:dyDescent="0.25"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35" s="9" customFormat="1" ht="34.9" customHeight="1" x14ac:dyDescent="0.3">
      <c r="A16" s="213"/>
      <c r="B16" s="213"/>
      <c r="C16" s="213"/>
      <c r="D16" s="213"/>
      <c r="E16" s="213"/>
      <c r="F16" s="213"/>
      <c r="G16" s="73"/>
      <c r="H16" s="73"/>
      <c r="I16" s="73"/>
      <c r="J16" s="73"/>
      <c r="K16" s="73"/>
      <c r="L16" s="73"/>
      <c r="M16" s="73"/>
    </row>
    <row r="17" spans="1:6" s="79" customFormat="1" ht="30.6" customHeight="1" x14ac:dyDescent="0.3">
      <c r="A17" s="213"/>
      <c r="B17" s="213"/>
      <c r="C17" s="213"/>
      <c r="D17" s="213"/>
      <c r="E17" s="213"/>
      <c r="F17" s="213"/>
    </row>
    <row r="18" spans="1:6" s="79" customFormat="1" ht="48" customHeight="1" x14ac:dyDescent="0.3">
      <c r="A18" s="213"/>
      <c r="B18" s="213"/>
      <c r="C18" s="213"/>
      <c r="D18" s="213"/>
      <c r="E18" s="213"/>
      <c r="F18" s="213"/>
    </row>
    <row r="19" spans="1:6" s="79" customFormat="1" ht="31.9" customHeight="1" x14ac:dyDescent="0.3">
      <c r="A19" s="213"/>
      <c r="B19" s="213"/>
      <c r="C19" s="213"/>
      <c r="D19" s="213"/>
      <c r="E19" s="213"/>
      <c r="F19" s="213"/>
    </row>
    <row r="20" spans="1:6" s="79" customFormat="1" ht="85.9" customHeight="1" x14ac:dyDescent="0.3">
      <c r="A20" s="213"/>
      <c r="B20" s="213"/>
      <c r="C20" s="213"/>
      <c r="D20" s="213"/>
      <c r="E20" s="213"/>
      <c r="F20" s="213"/>
    </row>
    <row r="21" spans="1:6" s="79" customFormat="1" ht="25.9" customHeight="1" x14ac:dyDescent="0.3">
      <c r="A21" s="213"/>
      <c r="B21" s="213"/>
      <c r="C21" s="213"/>
      <c r="D21" s="213"/>
      <c r="E21" s="213"/>
      <c r="F21" s="213"/>
    </row>
    <row r="22" spans="1:6" s="76" customFormat="1" ht="33.6" customHeight="1" x14ac:dyDescent="0.3">
      <c r="A22" s="213"/>
      <c r="B22" s="213"/>
      <c r="C22" s="213"/>
      <c r="D22" s="213"/>
      <c r="E22" s="213"/>
      <c r="F22" s="213"/>
    </row>
    <row r="23" spans="1:6" s="76" customFormat="1" ht="84" customHeight="1" x14ac:dyDescent="0.3">
      <c r="A23" s="213"/>
      <c r="B23" s="213"/>
      <c r="C23" s="213"/>
      <c r="D23" s="213"/>
      <c r="E23" s="213"/>
      <c r="F23" s="213"/>
    </row>
    <row r="24" spans="1:6" s="76" customFormat="1" ht="33.6" customHeight="1" x14ac:dyDescent="0.3">
      <c r="A24" s="213"/>
      <c r="B24" s="213"/>
      <c r="C24" s="213"/>
      <c r="D24" s="213"/>
      <c r="E24" s="213"/>
      <c r="F24" s="213"/>
    </row>
    <row r="25" spans="1:6" s="76" customFormat="1" ht="70.900000000000006" customHeight="1" x14ac:dyDescent="0.3">
      <c r="A25" s="213"/>
      <c r="B25" s="213"/>
      <c r="C25" s="213"/>
      <c r="D25" s="213"/>
      <c r="E25" s="213"/>
      <c r="F25" s="213"/>
    </row>
    <row r="26" spans="1:6" s="76" customFormat="1" ht="33.6" customHeight="1" x14ac:dyDescent="0.25">
      <c r="A26" s="81"/>
      <c r="B26" s="81"/>
      <c r="C26" s="81"/>
      <c r="D26" s="81"/>
      <c r="E26" s="81"/>
      <c r="F26" s="81"/>
    </row>
    <row r="27" spans="1:6" s="76" customFormat="1" ht="38.65" customHeight="1" x14ac:dyDescent="0.25">
      <c r="A27" s="81"/>
      <c r="B27" s="81"/>
      <c r="C27" s="81"/>
      <c r="D27" s="81"/>
      <c r="E27" s="81"/>
      <c r="F27" s="81"/>
    </row>
    <row r="28" spans="1:6" s="76" customFormat="1" ht="149.65" customHeight="1" x14ac:dyDescent="0.25"/>
    <row r="29" spans="1:6" s="76" customFormat="1" ht="36" customHeight="1" x14ac:dyDescent="0.25"/>
    <row r="30" spans="1:6" s="76" customFormat="1" x14ac:dyDescent="0.25"/>
    <row r="31" spans="1:6" s="76" customFormat="1" x14ac:dyDescent="0.25"/>
    <row r="32" spans="1:6" s="76" customFormat="1" x14ac:dyDescent="0.25"/>
    <row r="33" s="76" customFormat="1" x14ac:dyDescent="0.25"/>
    <row r="34" s="76" customFormat="1" x14ac:dyDescent="0.25"/>
    <row r="35" s="76" customFormat="1" x14ac:dyDescent="0.25"/>
    <row r="36" s="76" customFormat="1" x14ac:dyDescent="0.25"/>
    <row r="37" s="76" customFormat="1" x14ac:dyDescent="0.25"/>
    <row r="38" s="76" customFormat="1" x14ac:dyDescent="0.25"/>
    <row r="39" s="76" customFormat="1" x14ac:dyDescent="0.25"/>
    <row r="40" s="76" customFormat="1" x14ac:dyDescent="0.25"/>
    <row r="41" s="76" customFormat="1" x14ac:dyDescent="0.25"/>
    <row r="42" s="76" customFormat="1" x14ac:dyDescent="0.25"/>
    <row r="43" s="76" customFormat="1" x14ac:dyDescent="0.25"/>
    <row r="44" s="76" customFormat="1" x14ac:dyDescent="0.25"/>
    <row r="45" s="76" customFormat="1" x14ac:dyDescent="0.25"/>
    <row r="46" s="76" customFormat="1" x14ac:dyDescent="0.25"/>
    <row r="47" s="76" customFormat="1" x14ac:dyDescent="0.25"/>
    <row r="48" s="76" customFormat="1" x14ac:dyDescent="0.25"/>
    <row r="49" spans="24:27" s="76" customFormat="1" x14ac:dyDescent="0.25"/>
    <row r="50" spans="24:27" s="76" customFormat="1" x14ac:dyDescent="0.25"/>
    <row r="51" spans="24:27" s="76" customFormat="1" x14ac:dyDescent="0.25">
      <c r="X51" s="2"/>
      <c r="Y51" s="2"/>
      <c r="Z51" s="2"/>
      <c r="AA51" s="2"/>
    </row>
  </sheetData>
  <sheetProtection formatCells="0" formatColumns="0" formatRows="0"/>
  <mergeCells count="13">
    <mergeCell ref="A5:A8"/>
    <mergeCell ref="D5:D8"/>
    <mergeCell ref="E5:E8"/>
    <mergeCell ref="F5:F8"/>
    <mergeCell ref="G5:G8"/>
    <mergeCell ref="B5:B8"/>
    <mergeCell ref="C5:C8"/>
    <mergeCell ref="I5:I8"/>
    <mergeCell ref="J5:J8"/>
    <mergeCell ref="L5:L8"/>
    <mergeCell ref="M5:M8"/>
    <mergeCell ref="K5:K8"/>
    <mergeCell ref="H5:H8"/>
  </mergeCells>
  <conditionalFormatting sqref="A16:F25">
    <cfRule type="cellIs" dxfId="1" priority="63" operator="lessThan">
      <formula>0</formula>
    </cfRule>
  </conditionalFormatting>
  <printOptions horizontalCentered="1"/>
  <pageMargins left="0.19685039370078741" right="0.27559055118110237" top="0.59055118110236227" bottom="0.35433070866141736" header="0.39370078740157483" footer="0.31496062992125984"/>
  <pageSetup paperSize="9" scale="48" orientation="landscape" r:id="rId1"/>
  <headerFooter alignWithMargins="0">
    <oddFooter>&amp;RСтор.  &amp;P</oddFooter>
  </headerFooter>
  <rowBreaks count="1" manualBreakCount="1">
    <brk id="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6">
    <tabColor rgb="FF92D050"/>
  </sheetPr>
  <dimension ref="A1:J233"/>
  <sheetViews>
    <sheetView showGridLines="0" view="pageBreakPreview" topLeftCell="A13" zoomScale="60" zoomScaleNormal="50" zoomScalePageLayoutView="50" workbookViewId="0">
      <selection activeCell="Q32" sqref="Q32"/>
    </sheetView>
  </sheetViews>
  <sheetFormatPr defaultColWidth="8.7109375" defaultRowHeight="18.75" x14ac:dyDescent="0.25"/>
  <cols>
    <col min="1" max="1" width="12.7109375" style="58" customWidth="1"/>
    <col min="2" max="2" width="17.7109375" style="348" customWidth="1"/>
    <col min="3" max="3" width="94.28515625" style="348" customWidth="1"/>
    <col min="4" max="4" width="23.7109375" style="4" customWidth="1"/>
    <col min="5" max="5" width="21.5703125" style="4" customWidth="1"/>
    <col min="6" max="6" width="25.5703125" style="4" customWidth="1"/>
    <col min="7" max="8" width="22.42578125" style="4" customWidth="1"/>
    <col min="9" max="9" width="8.7109375" style="2"/>
    <col min="10" max="10" width="81.28515625" style="2" customWidth="1"/>
    <col min="11" max="197" width="8.7109375" style="2"/>
    <col min="198" max="198" width="78.5703125" style="2" customWidth="1"/>
    <col min="199" max="201" width="19.42578125" style="2" customWidth="1"/>
    <col min="202" max="16384" width="8.7109375" style="2"/>
  </cols>
  <sheetData>
    <row r="1" spans="1:8" ht="42" customHeight="1" thickBot="1" x14ac:dyDescent="0.3">
      <c r="B1" s="2808" t="s">
        <v>778</v>
      </c>
      <c r="C1" s="2808"/>
      <c r="D1" s="2808"/>
      <c r="E1" s="2808"/>
      <c r="F1" s="2808"/>
      <c r="G1" s="2808"/>
      <c r="H1" s="208"/>
    </row>
    <row r="2" spans="1:8" ht="23.25" customHeight="1" x14ac:dyDescent="0.3">
      <c r="A2" s="2809" t="s">
        <v>779</v>
      </c>
      <c r="B2" s="2811"/>
      <c r="C2" s="388"/>
      <c r="D2" s="1934" t="s">
        <v>781</v>
      </c>
      <c r="E2" s="2813" t="s">
        <v>780</v>
      </c>
      <c r="F2" s="2813"/>
      <c r="G2" s="2814"/>
      <c r="H2" s="314"/>
    </row>
    <row r="3" spans="1:8" ht="75.75" customHeight="1" thickBot="1" x14ac:dyDescent="0.35">
      <c r="A3" s="2810"/>
      <c r="B3" s="2812"/>
      <c r="C3" s="314"/>
      <c r="D3" s="1982"/>
      <c r="E3" s="298" t="s">
        <v>782</v>
      </c>
      <c r="F3" s="315" t="s">
        <v>783</v>
      </c>
      <c r="G3" s="316" t="s">
        <v>784</v>
      </c>
      <c r="H3" s="317"/>
    </row>
    <row r="4" spans="1:8" ht="30.75" customHeight="1" thickBot="1" x14ac:dyDescent="0.35">
      <c r="A4" s="351"/>
      <c r="B4" s="333" t="s">
        <v>261</v>
      </c>
      <c r="C4" s="379" t="s">
        <v>838</v>
      </c>
      <c r="D4" s="355">
        <f>'Звіт  7,8'!E28</f>
        <v>577</v>
      </c>
      <c r="E4" s="296" t="s">
        <v>280</v>
      </c>
      <c r="F4" s="296" t="s">
        <v>280</v>
      </c>
      <c r="G4" s="297" t="s">
        <v>280</v>
      </c>
      <c r="H4" s="317"/>
    </row>
    <row r="5" spans="1:8" ht="24.75" customHeight="1" thickBot="1" x14ac:dyDescent="0.35">
      <c r="A5" s="390"/>
      <c r="B5" s="391" t="s">
        <v>785</v>
      </c>
      <c r="C5" s="391" t="s">
        <v>839</v>
      </c>
      <c r="D5" s="392">
        <f>E5+F5</f>
        <v>71827212.719999999</v>
      </c>
      <c r="E5" s="392">
        <f>E6+E7+E8+E11</f>
        <v>50977220.719999999</v>
      </c>
      <c r="F5" s="392">
        <f>F9+F10</f>
        <v>20849992</v>
      </c>
      <c r="G5" s="263"/>
      <c r="H5" s="317"/>
    </row>
    <row r="6" spans="1:8" ht="24.75" customHeight="1" x14ac:dyDescent="0.3">
      <c r="A6" s="351"/>
      <c r="B6" s="333" t="s">
        <v>787</v>
      </c>
      <c r="C6" s="394" t="s">
        <v>840</v>
      </c>
      <c r="D6" s="305">
        <f t="shared" ref="D6:D11" si="0">E6+F6</f>
        <v>50956018.719999999</v>
      </c>
      <c r="E6" s="305">
        <f>'Звіт 1,2,3'!H19</f>
        <v>50956018.719999999</v>
      </c>
      <c r="F6" s="296"/>
      <c r="G6" s="297"/>
      <c r="H6" s="317"/>
    </row>
    <row r="7" spans="1:8" ht="24.75" customHeight="1" x14ac:dyDescent="0.3">
      <c r="A7" s="318"/>
      <c r="B7" s="319" t="s">
        <v>788</v>
      </c>
      <c r="C7" s="380" t="s">
        <v>841</v>
      </c>
      <c r="D7" s="259">
        <f t="shared" si="0"/>
        <v>0</v>
      </c>
      <c r="E7" s="259">
        <f>'Звіт 1,2,3'!I56+'Звіт 1,2,3'!I57</f>
        <v>0</v>
      </c>
      <c r="F7" s="302"/>
      <c r="G7" s="299"/>
      <c r="H7" s="317"/>
    </row>
    <row r="8" spans="1:8" ht="24.75" customHeight="1" x14ac:dyDescent="0.3">
      <c r="A8" s="318"/>
      <c r="B8" s="319" t="s">
        <v>789</v>
      </c>
      <c r="C8" s="380" t="s">
        <v>842</v>
      </c>
      <c r="D8" s="259">
        <f t="shared" si="0"/>
        <v>0</v>
      </c>
      <c r="E8" s="259">
        <f>'Звіт 1,2,3'!I58</f>
        <v>0</v>
      </c>
      <c r="F8" s="302"/>
      <c r="G8" s="299"/>
      <c r="H8" s="317"/>
    </row>
    <row r="9" spans="1:8" ht="24.75" customHeight="1" x14ac:dyDescent="0.3">
      <c r="A9" s="318"/>
      <c r="B9" s="319" t="s">
        <v>790</v>
      </c>
      <c r="C9" s="380" t="s">
        <v>843</v>
      </c>
      <c r="D9" s="259">
        <f t="shared" si="0"/>
        <v>16945857</v>
      </c>
      <c r="E9" s="302"/>
      <c r="F9" s="259">
        <f>'Звіт 1,2,3'!I19+'Звіт 1,2,3'!J19+'Звіт 1,2,3'!K19+'Звіт 1,2,3'!L19</f>
        <v>16945857</v>
      </c>
      <c r="G9" s="299"/>
      <c r="H9" s="317"/>
    </row>
    <row r="10" spans="1:8" ht="24.75" customHeight="1" x14ac:dyDescent="0.3">
      <c r="A10" s="318"/>
      <c r="B10" s="319" t="s">
        <v>791</v>
      </c>
      <c r="C10" s="380" t="s">
        <v>844</v>
      </c>
      <c r="D10" s="259">
        <f t="shared" si="0"/>
        <v>3904135</v>
      </c>
      <c r="E10" s="302"/>
      <c r="F10" s="259">
        <f>'Звіт 1,2,3'!M19+'Звіт 1,2,3'!P19</f>
        <v>3904135</v>
      </c>
      <c r="G10" s="299"/>
      <c r="H10" s="317"/>
    </row>
    <row r="11" spans="1:8" ht="24.75" customHeight="1" thickBot="1" x14ac:dyDescent="0.35">
      <c r="A11" s="320"/>
      <c r="B11" s="321" t="s">
        <v>792</v>
      </c>
      <c r="C11" s="395" t="s">
        <v>845</v>
      </c>
      <c r="D11" s="334">
        <f t="shared" si="0"/>
        <v>21202</v>
      </c>
      <c r="E11" s="334">
        <f>'Звіт 1,2,3'!I59</f>
        <v>21202</v>
      </c>
      <c r="F11" s="322"/>
      <c r="G11" s="323"/>
      <c r="H11" s="317"/>
    </row>
    <row r="12" spans="1:8" ht="39.75" customHeight="1" x14ac:dyDescent="0.3">
      <c r="A12" s="357"/>
      <c r="B12" s="327" t="s">
        <v>833</v>
      </c>
      <c r="C12" s="393" t="s">
        <v>846</v>
      </c>
      <c r="D12" s="328">
        <f>'Звіт 1,2,3'!T19</f>
        <v>0</v>
      </c>
      <c r="E12" s="328"/>
      <c r="F12" s="300"/>
      <c r="G12" s="301"/>
      <c r="H12" s="317"/>
    </row>
    <row r="13" spans="1:8" ht="45" customHeight="1" x14ac:dyDescent="0.3">
      <c r="A13" s="318"/>
      <c r="B13" s="319" t="s">
        <v>834</v>
      </c>
      <c r="C13" s="381" t="s">
        <v>847</v>
      </c>
      <c r="D13" s="259">
        <f>'Звіт 1,2,3'!W19</f>
        <v>0</v>
      </c>
      <c r="E13" s="259"/>
      <c r="F13" s="302"/>
      <c r="G13" s="299"/>
      <c r="H13" s="317"/>
    </row>
    <row r="14" spans="1:8" ht="24.75" customHeight="1" x14ac:dyDescent="0.3">
      <c r="A14" s="318"/>
      <c r="B14" s="319" t="s">
        <v>835</v>
      </c>
      <c r="C14" s="381" t="s">
        <v>848</v>
      </c>
      <c r="D14" s="259">
        <f>'Звіт 1,2,3'!AB19</f>
        <v>0</v>
      </c>
      <c r="E14" s="259"/>
      <c r="F14" s="302"/>
      <c r="G14" s="299"/>
      <c r="H14" s="317"/>
    </row>
    <row r="15" spans="1:8" ht="48.75" customHeight="1" x14ac:dyDescent="0.3">
      <c r="A15" s="318"/>
      <c r="B15" s="319" t="s">
        <v>836</v>
      </c>
      <c r="C15" s="381" t="s">
        <v>849</v>
      </c>
      <c r="D15" s="259">
        <f>'Звіт 1,2,3'!AC19</f>
        <v>267000</v>
      </c>
      <c r="E15" s="259"/>
      <c r="F15" s="302"/>
      <c r="G15" s="299"/>
      <c r="H15" s="317"/>
    </row>
    <row r="16" spans="1:8" ht="48.75" customHeight="1" thickBot="1" x14ac:dyDescent="0.35">
      <c r="A16" s="320"/>
      <c r="B16" s="321" t="s">
        <v>837</v>
      </c>
      <c r="C16" s="389" t="s">
        <v>850</v>
      </c>
      <c r="D16" s="334">
        <f>'Звіт 1,2,3'!AD19+'Звіт 1,2,3'!AE19</f>
        <v>0</v>
      </c>
      <c r="E16" s="334"/>
      <c r="F16" s="322"/>
      <c r="G16" s="323"/>
      <c r="H16" s="317"/>
    </row>
    <row r="17" spans="1:8" ht="24.75" customHeight="1" x14ac:dyDescent="0.3">
      <c r="A17" s="351"/>
      <c r="B17" s="333" t="s">
        <v>305</v>
      </c>
      <c r="C17" s="333" t="s">
        <v>851</v>
      </c>
      <c r="D17" s="305">
        <f>'Звіт 1,2,3'!G29</f>
        <v>16485355</v>
      </c>
      <c r="E17" s="305">
        <f>E19+E22</f>
        <v>3003379</v>
      </c>
      <c r="F17" s="305">
        <f>F20+F21</f>
        <v>13481976</v>
      </c>
      <c r="G17" s="297"/>
      <c r="H17" s="317"/>
    </row>
    <row r="18" spans="1:8" ht="38.25" customHeight="1" x14ac:dyDescent="0.3">
      <c r="A18" s="357"/>
      <c r="B18" s="327" t="s">
        <v>813</v>
      </c>
      <c r="C18" s="361" t="s">
        <v>852</v>
      </c>
      <c r="D18" s="328">
        <f>'Звіт   9'!K30/('Звіт 10, 11,12,13,14'!R27/1000/6)</f>
        <v>13.1</v>
      </c>
      <c r="E18" s="328"/>
      <c r="F18" s="328"/>
      <c r="G18" s="301"/>
      <c r="H18" s="317"/>
    </row>
    <row r="19" spans="1:8" ht="24.75" customHeight="1" x14ac:dyDescent="0.3">
      <c r="A19" s="318"/>
      <c r="B19" s="319" t="s">
        <v>306</v>
      </c>
      <c r="C19" s="382" t="s">
        <v>853</v>
      </c>
      <c r="D19" s="259">
        <f>'Звіт 1,2,3'!H29</f>
        <v>3003379</v>
      </c>
      <c r="E19" s="259">
        <f>'Звіт 1,2,3'!H29</f>
        <v>3003379</v>
      </c>
      <c r="F19" s="302"/>
      <c r="G19" s="299"/>
      <c r="H19" s="317"/>
    </row>
    <row r="20" spans="1:8" ht="24.75" customHeight="1" x14ac:dyDescent="0.3">
      <c r="A20" s="318"/>
      <c r="B20" s="319" t="s">
        <v>307</v>
      </c>
      <c r="C20" s="382" t="s">
        <v>895</v>
      </c>
      <c r="D20" s="259">
        <f>F20</f>
        <v>11614510</v>
      </c>
      <c r="E20" s="259"/>
      <c r="F20" s="259">
        <f>'Звіт 1,2,3'!I29+'Звіт 1,2,3'!J29+'Звіт 1,2,3'!K29+'Звіт 1,2,3'!L29</f>
        <v>11614510</v>
      </c>
      <c r="G20" s="299"/>
      <c r="H20" s="317"/>
    </row>
    <row r="21" spans="1:8" ht="24.75" customHeight="1" x14ac:dyDescent="0.3">
      <c r="A21" s="318"/>
      <c r="B21" s="319" t="s">
        <v>308</v>
      </c>
      <c r="C21" s="382" t="s">
        <v>897</v>
      </c>
      <c r="D21" s="259">
        <f>F21</f>
        <v>1867466</v>
      </c>
      <c r="E21" s="259"/>
      <c r="F21" s="259">
        <f>'Звіт 1,2,3'!M29+'Звіт 1,2,3'!P29</f>
        <v>1867466</v>
      </c>
      <c r="G21" s="299"/>
      <c r="H21" s="317"/>
    </row>
    <row r="22" spans="1:8" ht="24.75" customHeight="1" thickBot="1" x14ac:dyDescent="0.35">
      <c r="A22" s="320"/>
      <c r="B22" s="321" t="s">
        <v>309</v>
      </c>
      <c r="C22" s="396" t="s">
        <v>854</v>
      </c>
      <c r="D22" s="334">
        <f>E22</f>
        <v>0</v>
      </c>
      <c r="E22" s="334">
        <f>'Звіт 1,2,3'!S29</f>
        <v>0</v>
      </c>
      <c r="F22" s="334"/>
      <c r="G22" s="323"/>
      <c r="H22" s="317"/>
    </row>
    <row r="23" spans="1:8" ht="24.75" customHeight="1" x14ac:dyDescent="0.3">
      <c r="A23" s="351"/>
      <c r="B23" s="333" t="s">
        <v>793</v>
      </c>
      <c r="C23" s="333" t="s">
        <v>855</v>
      </c>
      <c r="D23" s="305">
        <f>'Звіт 1,2,3'!G71</f>
        <v>2164943</v>
      </c>
      <c r="E23" s="358">
        <f>E24+E25+E26+E27</f>
        <v>128274</v>
      </c>
      <c r="F23" s="358">
        <f>F24+F25+F26+F27</f>
        <v>2036669</v>
      </c>
      <c r="G23" s="297"/>
      <c r="H23" s="317"/>
    </row>
    <row r="24" spans="1:8" ht="24.75" customHeight="1" x14ac:dyDescent="0.3">
      <c r="A24" s="318"/>
      <c r="B24" s="319" t="s">
        <v>613</v>
      </c>
      <c r="C24" s="383" t="s">
        <v>856</v>
      </c>
      <c r="D24" s="354">
        <f>'Звіт 1,2,3'!H71</f>
        <v>128274</v>
      </c>
      <c r="E24" s="259">
        <f>'Звіт 1,2,3'!H71</f>
        <v>128274</v>
      </c>
      <c r="F24" s="302"/>
      <c r="G24" s="299"/>
      <c r="H24" s="317"/>
    </row>
    <row r="25" spans="1:8" ht="24.75" customHeight="1" x14ac:dyDescent="0.3">
      <c r="A25" s="318"/>
      <c r="B25" s="319" t="s">
        <v>614</v>
      </c>
      <c r="C25" s="383" t="s">
        <v>896</v>
      </c>
      <c r="D25" s="359">
        <f>'Звіт 1,2,3'!I71+'Звіт 1,2,3'!J71+'Звіт 1,2,3'!K71+'Звіт 1,2,3'!L71</f>
        <v>0</v>
      </c>
      <c r="E25" s="359"/>
      <c r="F25" s="359">
        <f>'Звіт 1,2,3'!I71+'Звіт 1,2,3'!J71+'Звіт 1,2,3'!K71+'Звіт 1,2,3'!L71</f>
        <v>0</v>
      </c>
      <c r="G25" s="299"/>
      <c r="H25" s="317"/>
    </row>
    <row r="26" spans="1:8" ht="24.75" customHeight="1" x14ac:dyDescent="0.3">
      <c r="A26" s="318"/>
      <c r="B26" s="319" t="s">
        <v>794</v>
      </c>
      <c r="C26" s="383" t="s">
        <v>898</v>
      </c>
      <c r="D26" s="359">
        <f>'Звіт 1,2,3'!M71+'Звіт 1,2,3'!N71</f>
        <v>2036669</v>
      </c>
      <c r="E26" s="359"/>
      <c r="F26" s="359">
        <f>'Звіт 1,2,3'!M71+'Звіт 1,2,3'!N71</f>
        <v>2036669</v>
      </c>
      <c r="G26" s="299"/>
      <c r="H26" s="317"/>
    </row>
    <row r="27" spans="1:8" ht="24.75" customHeight="1" thickBot="1" x14ac:dyDescent="0.35">
      <c r="A27" s="320"/>
      <c r="B27" s="321" t="s">
        <v>795</v>
      </c>
      <c r="C27" s="356" t="s">
        <v>857</v>
      </c>
      <c r="D27" s="360">
        <f>'Звіт 1,2,3'!O71</f>
        <v>0</v>
      </c>
      <c r="E27" s="360">
        <f>'Звіт 1,2,3'!O71</f>
        <v>0</v>
      </c>
      <c r="F27" s="360"/>
      <c r="G27" s="323"/>
      <c r="H27" s="317"/>
    </row>
    <row r="28" spans="1:8" ht="18.75" customHeight="1" x14ac:dyDescent="0.3">
      <c r="A28" s="352"/>
      <c r="B28" s="353">
        <v>8</v>
      </c>
      <c r="C28" s="384" t="s">
        <v>858</v>
      </c>
      <c r="D28" s="324">
        <f>'Звіт   4,5,6'!H7</f>
        <v>67359415.719999999</v>
      </c>
      <c r="E28" s="324">
        <f>'Звіт   4,5,6'!H8+'Звіт   4,5,6'!H20+'Звіт   4,5,6'!H21+'Звіт   4,5,6'!H22</f>
        <v>51244220.719999999</v>
      </c>
      <c r="F28" s="324">
        <f>'Звіт   4,5,6'!H17</f>
        <v>15748586</v>
      </c>
      <c r="G28" s="325">
        <f>'Звіт   4,5,6'!H26</f>
        <v>366609</v>
      </c>
      <c r="H28" s="326"/>
    </row>
    <row r="29" spans="1:8" ht="21.75" customHeight="1" x14ac:dyDescent="0.3">
      <c r="A29" s="60"/>
      <c r="B29" s="319" t="s">
        <v>796</v>
      </c>
      <c r="C29" s="306" t="s">
        <v>859</v>
      </c>
      <c r="D29" s="259">
        <f>'Звіт   4,5,6'!H8</f>
        <v>50956018.719999999</v>
      </c>
      <c r="E29" s="259">
        <f>'Звіт   4,5,6'!H8</f>
        <v>50956018.719999999</v>
      </c>
      <c r="F29" s="259" t="s">
        <v>280</v>
      </c>
      <c r="G29" s="330" t="s">
        <v>280</v>
      </c>
      <c r="H29" s="326"/>
    </row>
    <row r="30" spans="1:8" ht="21.75" customHeight="1" x14ac:dyDescent="0.25">
      <c r="A30" s="60"/>
      <c r="B30" s="329" t="s">
        <v>797</v>
      </c>
      <c r="C30" s="385" t="s">
        <v>860</v>
      </c>
      <c r="D30" s="259">
        <f t="shared" ref="D30:D35" si="1">E30</f>
        <v>0</v>
      </c>
      <c r="E30" s="259">
        <f>'Звіт   4,5,6'!H9</f>
        <v>0</v>
      </c>
      <c r="F30" s="259" t="s">
        <v>280</v>
      </c>
      <c r="G30" s="330" t="s">
        <v>280</v>
      </c>
      <c r="H30" s="326"/>
    </row>
    <row r="31" spans="1:8" ht="21.75" customHeight="1" x14ac:dyDescent="0.25">
      <c r="A31" s="60"/>
      <c r="B31" s="331" t="s">
        <v>798</v>
      </c>
      <c r="C31" s="385" t="s">
        <v>861</v>
      </c>
      <c r="D31" s="259">
        <f t="shared" si="1"/>
        <v>0</v>
      </c>
      <c r="E31" s="259">
        <f>'Звіт   4,5,6'!H10</f>
        <v>0</v>
      </c>
      <c r="F31" s="259" t="s">
        <v>280</v>
      </c>
      <c r="G31" s="330" t="s">
        <v>280</v>
      </c>
      <c r="H31" s="326"/>
    </row>
    <row r="32" spans="1:8" ht="21.75" customHeight="1" x14ac:dyDescent="0.25">
      <c r="A32" s="60"/>
      <c r="B32" s="332" t="s">
        <v>799</v>
      </c>
      <c r="C32" s="385" t="s">
        <v>862</v>
      </c>
      <c r="D32" s="259">
        <f t="shared" si="1"/>
        <v>50956018.719999999</v>
      </c>
      <c r="E32" s="259">
        <f>'Звіт   4,5,6'!H11</f>
        <v>50956018.719999999</v>
      </c>
      <c r="F32" s="259" t="s">
        <v>280</v>
      </c>
      <c r="G32" s="330" t="s">
        <v>280</v>
      </c>
      <c r="H32" s="326"/>
    </row>
    <row r="33" spans="1:8" ht="21.75" customHeight="1" x14ac:dyDescent="0.25">
      <c r="A33" s="60"/>
      <c r="B33" s="332" t="s">
        <v>800</v>
      </c>
      <c r="C33" s="308" t="s">
        <v>863</v>
      </c>
      <c r="D33" s="259">
        <f t="shared" si="1"/>
        <v>50956018.719999999</v>
      </c>
      <c r="E33" s="259">
        <f>'Звіт   4,5,6'!H12</f>
        <v>50956018.719999999</v>
      </c>
      <c r="F33" s="259" t="s">
        <v>280</v>
      </c>
      <c r="G33" s="330" t="s">
        <v>280</v>
      </c>
      <c r="H33" s="326"/>
    </row>
    <row r="34" spans="1:8" ht="21.75" customHeight="1" x14ac:dyDescent="0.25">
      <c r="A34" s="60"/>
      <c r="B34" s="332" t="s">
        <v>801</v>
      </c>
      <c r="C34" s="308" t="s">
        <v>864</v>
      </c>
      <c r="D34" s="259">
        <f t="shared" si="1"/>
        <v>0</v>
      </c>
      <c r="E34" s="259">
        <f>E32-E33</f>
        <v>0</v>
      </c>
      <c r="F34" s="259"/>
      <c r="G34" s="330"/>
      <c r="H34" s="326"/>
    </row>
    <row r="35" spans="1:8" ht="21.75" customHeight="1" x14ac:dyDescent="0.25">
      <c r="A35" s="60"/>
      <c r="B35" s="332" t="s">
        <v>802</v>
      </c>
      <c r="C35" s="385" t="s">
        <v>1148</v>
      </c>
      <c r="D35" s="259">
        <f t="shared" si="1"/>
        <v>0</v>
      </c>
      <c r="E35" s="259">
        <f>'Звіт   4,5,6'!H14</f>
        <v>0</v>
      </c>
      <c r="F35" s="259" t="s">
        <v>280</v>
      </c>
      <c r="G35" s="330" t="s">
        <v>280</v>
      </c>
      <c r="H35" s="326"/>
    </row>
    <row r="36" spans="1:8" ht="21.75" customHeight="1" x14ac:dyDescent="0.25">
      <c r="A36" s="60"/>
      <c r="B36" s="332" t="s">
        <v>1149</v>
      </c>
      <c r="C36" s="385" t="s">
        <v>1150</v>
      </c>
      <c r="D36" s="259">
        <f>'Звіт   4,5,6'!H15</f>
        <v>0</v>
      </c>
      <c r="E36" s="259">
        <f>D36</f>
        <v>0</v>
      </c>
      <c r="F36" s="259"/>
      <c r="G36" s="330"/>
      <c r="H36" s="326"/>
    </row>
    <row r="37" spans="1:8" ht="18.75" customHeight="1" x14ac:dyDescent="0.3">
      <c r="A37" s="60"/>
      <c r="B37" s="319" t="s">
        <v>803</v>
      </c>
      <c r="C37" s="306" t="s">
        <v>865</v>
      </c>
      <c r="D37" s="259">
        <f>'Звіт   4,5,6'!H16</f>
        <v>16036788</v>
      </c>
      <c r="E37" s="259">
        <f>'Звіт   4,5,6'!H20+'Звіт   4,5,6'!H21+'Звіт   4,5,6'!H22</f>
        <v>288202</v>
      </c>
      <c r="F37" s="259">
        <f>'Звіт   4,5,6'!H17</f>
        <v>15748586</v>
      </c>
      <c r="G37" s="330" t="s">
        <v>280</v>
      </c>
      <c r="H37" s="326"/>
    </row>
    <row r="38" spans="1:8" ht="42.75" customHeight="1" x14ac:dyDescent="0.25">
      <c r="A38" s="60"/>
      <c r="B38" s="329" t="s">
        <v>804</v>
      </c>
      <c r="C38" s="303" t="s">
        <v>866</v>
      </c>
      <c r="D38" s="259">
        <f>F38</f>
        <v>15748586</v>
      </c>
      <c r="E38" s="259" t="s">
        <v>280</v>
      </c>
      <c r="F38" s="259">
        <f>'Звіт   4,5,6'!H17</f>
        <v>15748586</v>
      </c>
      <c r="G38" s="330" t="s">
        <v>280</v>
      </c>
      <c r="H38" s="326"/>
    </row>
    <row r="39" spans="1:8" ht="42.75" customHeight="1" x14ac:dyDescent="0.25">
      <c r="A39" s="60"/>
      <c r="B39" s="1776" t="s">
        <v>2080</v>
      </c>
      <c r="C39" s="1777" t="s">
        <v>2082</v>
      </c>
      <c r="D39" s="1778">
        <f>'Звіт   4,5,6'!F18</f>
        <v>0</v>
      </c>
      <c r="E39" s="1778">
        <f>'Звіт   4,5,6'!H18</f>
        <v>0</v>
      </c>
      <c r="F39" s="1778">
        <f>'Звіт   4,5,6'!H18</f>
        <v>0</v>
      </c>
      <c r="G39" s="1779" t="s">
        <v>280</v>
      </c>
      <c r="H39" s="326"/>
    </row>
    <row r="40" spans="1:8" ht="42.75" customHeight="1" x14ac:dyDescent="0.25">
      <c r="A40" s="60"/>
      <c r="B40" s="1776" t="s">
        <v>2081</v>
      </c>
      <c r="C40" s="1777" t="s">
        <v>2083</v>
      </c>
      <c r="D40" s="1778">
        <f>'Звіт   4,5,6'!F19</f>
        <v>0</v>
      </c>
      <c r="E40" s="1778">
        <f>'Звіт   4,5,6'!H19</f>
        <v>0</v>
      </c>
      <c r="F40" s="1778">
        <f>'Звіт   4,5,6'!H19</f>
        <v>0</v>
      </c>
      <c r="G40" s="1779" t="s">
        <v>280</v>
      </c>
      <c r="H40" s="326"/>
    </row>
    <row r="41" spans="1:8" ht="23.25" customHeight="1" x14ac:dyDescent="0.25">
      <c r="A41" s="60"/>
      <c r="B41" s="329" t="s">
        <v>2079</v>
      </c>
      <c r="C41" s="303" t="s">
        <v>867</v>
      </c>
      <c r="D41" s="259">
        <f>E41</f>
        <v>0</v>
      </c>
      <c r="E41" s="259">
        <f>'Звіт   4,5,6'!H20</f>
        <v>0</v>
      </c>
      <c r="F41" s="259" t="s">
        <v>280</v>
      </c>
      <c r="G41" s="330" t="s">
        <v>280</v>
      </c>
      <c r="H41" s="326"/>
    </row>
    <row r="42" spans="1:8" ht="42.75" customHeight="1" x14ac:dyDescent="0.25">
      <c r="A42" s="60"/>
      <c r="B42" s="332" t="s">
        <v>805</v>
      </c>
      <c r="C42" s="303" t="s">
        <v>868</v>
      </c>
      <c r="D42" s="259">
        <f>E42</f>
        <v>0</v>
      </c>
      <c r="E42" s="259">
        <f>'Звіт   4,5,6'!H21</f>
        <v>0</v>
      </c>
      <c r="F42" s="259" t="s">
        <v>280</v>
      </c>
      <c r="G42" s="330" t="s">
        <v>280</v>
      </c>
      <c r="H42" s="326"/>
    </row>
    <row r="43" spans="1:8" ht="21" customHeight="1" x14ac:dyDescent="0.25">
      <c r="A43" s="60"/>
      <c r="B43" s="332" t="s">
        <v>806</v>
      </c>
      <c r="C43" s="303" t="s">
        <v>869</v>
      </c>
      <c r="D43" s="259">
        <f>E43</f>
        <v>288202</v>
      </c>
      <c r="E43" s="259">
        <f>'Звіт   4,5,6'!H22</f>
        <v>288202</v>
      </c>
      <c r="F43" s="259" t="s">
        <v>280</v>
      </c>
      <c r="G43" s="330" t="s">
        <v>280</v>
      </c>
      <c r="H43" s="326"/>
    </row>
    <row r="44" spans="1:8" ht="21" customHeight="1" x14ac:dyDescent="0.25">
      <c r="A44" s="60"/>
      <c r="B44" s="332" t="s">
        <v>807</v>
      </c>
      <c r="C44" s="303" t="s">
        <v>870</v>
      </c>
      <c r="D44" s="259">
        <f>'Звіт   4,5,6'!H23</f>
        <v>267000</v>
      </c>
      <c r="E44" s="259">
        <f>'Звіт   4,5,6'!H23</f>
        <v>267000</v>
      </c>
      <c r="F44" s="259" t="s">
        <v>280</v>
      </c>
      <c r="G44" s="330" t="s">
        <v>280</v>
      </c>
      <c r="H44" s="326"/>
    </row>
    <row r="45" spans="1:8" ht="24" customHeight="1" x14ac:dyDescent="0.25">
      <c r="A45" s="60"/>
      <c r="B45" s="349" t="s">
        <v>808</v>
      </c>
      <c r="C45" s="306" t="s">
        <v>871</v>
      </c>
      <c r="D45" s="259">
        <f>'Звіт   4,5,6'!H26</f>
        <v>366609</v>
      </c>
      <c r="E45" s="259" t="s">
        <v>280</v>
      </c>
      <c r="F45" s="259" t="s">
        <v>280</v>
      </c>
      <c r="G45" s="330">
        <f>'Звіт   4,5,6'!H26</f>
        <v>366609</v>
      </c>
      <c r="H45" s="326"/>
    </row>
    <row r="46" spans="1:8" ht="48.75" customHeight="1" x14ac:dyDescent="0.25">
      <c r="A46" s="60"/>
      <c r="B46" s="336" t="s">
        <v>809</v>
      </c>
      <c r="C46" s="303" t="s">
        <v>872</v>
      </c>
      <c r="D46" s="259">
        <f>'Звіт   4,5,6'!H27</f>
        <v>100299</v>
      </c>
      <c r="E46" s="259" t="s">
        <v>280</v>
      </c>
      <c r="F46" s="259" t="s">
        <v>280</v>
      </c>
      <c r="G46" s="330">
        <f>'Звіт   4,5,6'!H27</f>
        <v>100299</v>
      </c>
      <c r="H46" s="326"/>
    </row>
    <row r="47" spans="1:8" ht="47.25" customHeight="1" x14ac:dyDescent="0.25">
      <c r="A47" s="60"/>
      <c r="B47" s="336" t="s">
        <v>810</v>
      </c>
      <c r="C47" s="303" t="s">
        <v>873</v>
      </c>
      <c r="D47" s="259">
        <f>'Звіт   4,5,6'!H28</f>
        <v>266310</v>
      </c>
      <c r="E47" s="259" t="s">
        <v>280</v>
      </c>
      <c r="F47" s="259" t="s">
        <v>280</v>
      </c>
      <c r="G47" s="330">
        <f>'Звіт   4,5,6'!H28</f>
        <v>266310</v>
      </c>
      <c r="H47" s="326"/>
    </row>
    <row r="48" spans="1:8" ht="29.1" customHeight="1" thickBot="1" x14ac:dyDescent="0.3">
      <c r="A48" s="61"/>
      <c r="B48" s="350" t="s">
        <v>811</v>
      </c>
      <c r="C48" s="307" t="s">
        <v>874</v>
      </c>
      <c r="D48" s="334">
        <f>'Звіт   4,5,6'!H29</f>
        <v>0</v>
      </c>
      <c r="E48" s="334" t="s">
        <v>280</v>
      </c>
      <c r="F48" s="334" t="s">
        <v>280</v>
      </c>
      <c r="G48" s="335">
        <f>'Звіт   4,5,6'!H29</f>
        <v>0</v>
      </c>
      <c r="H48" s="326"/>
    </row>
    <row r="49" spans="1:10" ht="29.1" customHeight="1" thickBot="1" x14ac:dyDescent="0.3">
      <c r="A49" s="507"/>
      <c r="B49" s="508" t="s">
        <v>1157</v>
      </c>
      <c r="C49" s="509" t="s">
        <v>1097</v>
      </c>
      <c r="D49" s="510">
        <f>('Звіт 10, 11,12,13,14'!$G$88+'Звіт 10, 11,12,13,14'!I82)</f>
        <v>0</v>
      </c>
      <c r="E49" s="511"/>
      <c r="F49" s="511"/>
      <c r="G49" s="512"/>
      <c r="H49" s="326"/>
    </row>
    <row r="50" spans="1:10" s="9" customFormat="1" ht="25.35" customHeight="1" x14ac:dyDescent="0.3">
      <c r="A50" s="1780"/>
      <c r="B50" s="1781" t="s">
        <v>812</v>
      </c>
      <c r="C50" s="1782" t="s">
        <v>875</v>
      </c>
      <c r="D50" s="1783">
        <f>'Звіт   4,5,6'!E41</f>
        <v>62229323</v>
      </c>
      <c r="E50" s="1784">
        <f>'Звіт   4,5,6'!G42+'Звіт   4,5,6'!K42+'Звіт   4,5,6'!M42+'Звіт   4,5,6'!S42</f>
        <v>46480737</v>
      </c>
      <c r="F50" s="1784">
        <f>'Звіт   4,5,6'!O42</f>
        <v>15748586</v>
      </c>
      <c r="G50" s="1785">
        <f>'Звіт   4,5,6'!D96</f>
        <v>0</v>
      </c>
      <c r="H50" s="337"/>
    </row>
    <row r="51" spans="1:10" s="9" customFormat="1" ht="25.35" customHeight="1" x14ac:dyDescent="0.3">
      <c r="A51" s="1786"/>
      <c r="B51" s="1781" t="s">
        <v>812</v>
      </c>
      <c r="C51" s="1771" t="s">
        <v>876</v>
      </c>
      <c r="D51" s="1787">
        <f>'Звіт   4,5,6'!E41+'Звіт   4,5,6'!E92</f>
        <v>62636932</v>
      </c>
      <c r="E51" s="1788" t="s">
        <v>280</v>
      </c>
      <c r="F51" s="1788" t="s">
        <v>280</v>
      </c>
      <c r="G51" s="340" t="s">
        <v>280</v>
      </c>
      <c r="H51" s="337"/>
    </row>
    <row r="52" spans="1:10" s="9" customFormat="1" ht="25.35" customHeight="1" x14ac:dyDescent="0.3">
      <c r="A52" s="1786"/>
      <c r="B52" s="1772" t="s">
        <v>814</v>
      </c>
      <c r="C52" s="1771" t="s">
        <v>877</v>
      </c>
      <c r="D52" s="1787">
        <f>'Звіт   4,5,6'!E42</f>
        <v>62229323</v>
      </c>
      <c r="E52" s="294">
        <f>'Звіт   4,5,6'!G42+'Звіт   4,5,6'!K42+'Звіт   4,5,6'!M42+'Звіт   4,5,6'!S42</f>
        <v>46480737</v>
      </c>
      <c r="F52" s="294">
        <f>'Звіт   4,5,6'!O42</f>
        <v>15748586</v>
      </c>
      <c r="G52" s="340" t="s">
        <v>280</v>
      </c>
      <c r="H52" s="337">
        <f>D52-E52-F52</f>
        <v>0</v>
      </c>
    </row>
    <row r="53" spans="1:10" s="9" customFormat="1" ht="25.35" customHeight="1" thickBot="1" x14ac:dyDescent="0.35">
      <c r="A53" s="1789"/>
      <c r="B53" s="1790" t="s">
        <v>814</v>
      </c>
      <c r="C53" s="1791" t="s">
        <v>878</v>
      </c>
      <c r="D53" s="1792">
        <f>'Звіт   4,5,6'!E42+'Звіт   4,5,6'!E92</f>
        <v>62636932</v>
      </c>
      <c r="E53" s="1793" t="s">
        <v>280</v>
      </c>
      <c r="F53" s="1793" t="s">
        <v>280</v>
      </c>
      <c r="G53" s="1794"/>
      <c r="H53" s="337"/>
    </row>
    <row r="54" spans="1:10" s="9" customFormat="1" ht="25.35" customHeight="1" x14ac:dyDescent="0.3">
      <c r="A54" s="364">
        <v>2</v>
      </c>
      <c r="B54" s="365" t="s">
        <v>815</v>
      </c>
      <c r="C54" s="426" t="s">
        <v>879</v>
      </c>
      <c r="D54" s="366">
        <f>'Звіт   4,5,6'!E43</f>
        <v>33352261</v>
      </c>
      <c r="E54" s="366">
        <f>'Звіт   4,5,6'!G43+'Звіт   4,5,6'!K43+'Звіт   4,5,6'!M43+'Звіт   4,5,6'!S43</f>
        <v>33352261</v>
      </c>
      <c r="F54" s="366">
        <f>'Звіт   4,5,6'!O43</f>
        <v>0</v>
      </c>
      <c r="G54" s="367" t="s">
        <v>280</v>
      </c>
      <c r="H54" s="337">
        <f>D54-E54-F54</f>
        <v>0</v>
      </c>
      <c r="J54" s="362"/>
    </row>
    <row r="55" spans="1:10" s="9" customFormat="1" ht="28.5" customHeight="1" x14ac:dyDescent="0.3">
      <c r="A55" s="338">
        <v>3</v>
      </c>
      <c r="B55" s="339" t="s">
        <v>816</v>
      </c>
      <c r="C55" s="426" t="s">
        <v>880</v>
      </c>
      <c r="D55" s="294">
        <f>'Звіт   4,5,6'!E44</f>
        <v>7420323</v>
      </c>
      <c r="E55" s="294">
        <f>'Звіт   4,5,6'!G44+'Звіт   4,5,6'!K44+'Звіт   4,5,6'!M44+'Звіт   4,5,6'!S44</f>
        <v>7420323</v>
      </c>
      <c r="F55" s="294">
        <f>'Звіт   4,5,6'!O44</f>
        <v>0</v>
      </c>
      <c r="G55" s="340" t="s">
        <v>280</v>
      </c>
      <c r="H55" s="337">
        <f t="shared" ref="H55:H64" si="2">D55-E55-F55</f>
        <v>0</v>
      </c>
      <c r="J55" s="362"/>
    </row>
    <row r="56" spans="1:10" s="9" customFormat="1" ht="25.35" customHeight="1" x14ac:dyDescent="0.3">
      <c r="A56" s="338">
        <v>4</v>
      </c>
      <c r="B56" s="339" t="s">
        <v>817</v>
      </c>
      <c r="C56" s="426" t="s">
        <v>881</v>
      </c>
      <c r="D56" s="294">
        <f>'Звіт   4,5,6'!E45</f>
        <v>0</v>
      </c>
      <c r="E56" s="294">
        <f>'Звіт   4,5,6'!G45+'Звіт   4,5,6'!K45+'Звіт   4,5,6'!M45+'Звіт   4,5,6'!S45</f>
        <v>0</v>
      </c>
      <c r="F56" s="294">
        <f>'Звіт   4,5,6'!O45</f>
        <v>0</v>
      </c>
      <c r="G56" s="340" t="s">
        <v>280</v>
      </c>
      <c r="H56" s="337">
        <f t="shared" si="2"/>
        <v>0</v>
      </c>
      <c r="J56" s="362"/>
    </row>
    <row r="57" spans="1:10" s="9" customFormat="1" ht="25.35" customHeight="1" x14ac:dyDescent="0.3">
      <c r="A57" s="338">
        <v>1</v>
      </c>
      <c r="B57" s="339" t="s">
        <v>818</v>
      </c>
      <c r="C57" s="426" t="s">
        <v>882</v>
      </c>
      <c r="D57" s="294">
        <f>'Звіт   4,5,6'!E46</f>
        <v>18801735</v>
      </c>
      <c r="E57" s="294">
        <f>'Звіт   4,5,6'!G46+'Звіт   4,5,6'!K46+'Звіт   4,5,6'!M46+'Звіт   4,5,6'!S46</f>
        <v>3053149</v>
      </c>
      <c r="F57" s="294">
        <f>'Звіт   4,5,6'!O46</f>
        <v>15748586</v>
      </c>
      <c r="G57" s="340" t="s">
        <v>280</v>
      </c>
      <c r="H57" s="337">
        <f t="shared" si="2"/>
        <v>0</v>
      </c>
      <c r="J57" s="362"/>
    </row>
    <row r="58" spans="1:10" s="9" customFormat="1" ht="25.35" customHeight="1" x14ac:dyDescent="0.3">
      <c r="A58" s="338"/>
      <c r="B58" s="341" t="s">
        <v>819</v>
      </c>
      <c r="C58" s="425" t="s">
        <v>883</v>
      </c>
      <c r="D58" s="294">
        <f>'Звіт   4,5,6'!E47</f>
        <v>11084719</v>
      </c>
      <c r="E58" s="294">
        <f>'Звіт   4,5,6'!G47</f>
        <v>665735</v>
      </c>
      <c r="F58" s="294">
        <f>'Звіт   4,5,6'!O47</f>
        <v>10418984</v>
      </c>
      <c r="G58" s="340" t="s">
        <v>280</v>
      </c>
      <c r="H58" s="337">
        <f t="shared" si="2"/>
        <v>0</v>
      </c>
      <c r="J58" s="362"/>
    </row>
    <row r="59" spans="1:10" s="9" customFormat="1" ht="21.6" customHeight="1" x14ac:dyDescent="0.3">
      <c r="A59" s="338"/>
      <c r="B59" s="341" t="s">
        <v>820</v>
      </c>
      <c r="C59" s="304" t="s">
        <v>884</v>
      </c>
      <c r="D59" s="294">
        <f>'Звіт   4,5,6'!E58</f>
        <v>130172</v>
      </c>
      <c r="E59" s="294">
        <f>'Звіт   4,5,6'!G58+'Звіт   4,5,6'!K58+'Звіт   4,5,6'!M58+'Звіт   4,5,6'!S58</f>
        <v>64581</v>
      </c>
      <c r="F59" s="294">
        <f>'Звіт   4,5,6'!O58</f>
        <v>65591</v>
      </c>
      <c r="G59" s="340" t="s">
        <v>280</v>
      </c>
      <c r="H59" s="337">
        <f t="shared" si="2"/>
        <v>0</v>
      </c>
      <c r="J59" s="362"/>
    </row>
    <row r="60" spans="1:10" s="9" customFormat="1" ht="36.6" customHeight="1" x14ac:dyDescent="0.3">
      <c r="A60" s="338"/>
      <c r="B60" s="341" t="s">
        <v>821</v>
      </c>
      <c r="C60" s="310" t="s">
        <v>885</v>
      </c>
      <c r="D60" s="294">
        <f>'Звіт   4,5,6'!E59</f>
        <v>4437286</v>
      </c>
      <c r="E60" s="294">
        <f>'Звіт   4,5,6'!G59+'Звіт   4,5,6'!K59+'Звіт   4,5,6'!M59+'Звіт   4,5,6'!S59</f>
        <v>0</v>
      </c>
      <c r="F60" s="294">
        <f>'Звіт   4,5,6'!O59</f>
        <v>4437286</v>
      </c>
      <c r="G60" s="340" t="s">
        <v>280</v>
      </c>
      <c r="H60" s="337">
        <f t="shared" si="2"/>
        <v>0</v>
      </c>
      <c r="J60" s="362"/>
    </row>
    <row r="61" spans="1:10" s="9" customFormat="1" ht="24" customHeight="1" x14ac:dyDescent="0.3">
      <c r="A61" s="338"/>
      <c r="B61" s="341" t="s">
        <v>822</v>
      </c>
      <c r="C61" s="309" t="s">
        <v>1151</v>
      </c>
      <c r="D61" s="294">
        <f>'Звіт   4,5,6'!E62</f>
        <v>199718</v>
      </c>
      <c r="E61" s="294">
        <f>'Звіт   4,5,6'!G62+'Звіт   4,5,6'!K62+'Звіт   4,5,6'!M62+'Звіт   4,5,6'!S62</f>
        <v>199718</v>
      </c>
      <c r="F61" s="294">
        <f>'Звіт   4,5,6'!O62</f>
        <v>0</v>
      </c>
      <c r="G61" s="340" t="s">
        <v>280</v>
      </c>
      <c r="H61" s="337">
        <f t="shared" si="2"/>
        <v>0</v>
      </c>
    </row>
    <row r="62" spans="1:10" s="9" customFormat="1" ht="24" customHeight="1" x14ac:dyDescent="0.3">
      <c r="A62" s="338"/>
      <c r="B62" s="341" t="s">
        <v>823</v>
      </c>
      <c r="C62" s="304" t="s">
        <v>1152</v>
      </c>
      <c r="D62" s="294">
        <f>'Звіт   4,5,6'!E69</f>
        <v>282011</v>
      </c>
      <c r="E62" s="294">
        <f>'Звіт   4,5,6'!G69+'Звіт   4,5,6'!K69+'Звіт   4,5,6'!M69+'Звіт   4,5,6'!S69</f>
        <v>282011</v>
      </c>
      <c r="F62" s="294">
        <f>'Звіт   4,5,6'!O69</f>
        <v>0</v>
      </c>
      <c r="G62" s="340" t="s">
        <v>280</v>
      </c>
      <c r="H62" s="337">
        <f t="shared" si="2"/>
        <v>0</v>
      </c>
    </row>
    <row r="63" spans="1:10" s="9" customFormat="1" ht="24" customHeight="1" x14ac:dyDescent="0.3">
      <c r="A63" s="338">
        <v>6</v>
      </c>
      <c r="B63" s="339" t="s">
        <v>824</v>
      </c>
      <c r="C63" s="306" t="s">
        <v>886</v>
      </c>
      <c r="D63" s="294">
        <f>'Звіт   4,5,6'!E70</f>
        <v>2655004</v>
      </c>
      <c r="E63" s="294">
        <f>'Звіт   4,5,6'!G70+'Звіт   4,5,6'!K70+'Звіт   4,5,6'!M70+'Звіт   4,5,6'!S70</f>
        <v>2655004</v>
      </c>
      <c r="F63" s="294">
        <f>'Звіт   4,5,6'!O70</f>
        <v>0</v>
      </c>
      <c r="G63" s="340" t="s">
        <v>280</v>
      </c>
      <c r="H63" s="337">
        <f t="shared" si="2"/>
        <v>0</v>
      </c>
    </row>
    <row r="64" spans="1:10" s="9" customFormat="1" ht="23.1" customHeight="1" x14ac:dyDescent="0.3">
      <c r="A64" s="338">
        <v>5</v>
      </c>
      <c r="B64" s="363" t="s">
        <v>825</v>
      </c>
      <c r="C64" s="311" t="s">
        <v>887</v>
      </c>
      <c r="D64" s="294">
        <f>'Звіт   4,5,6'!E92</f>
        <v>407609</v>
      </c>
      <c r="E64" s="294">
        <f>'Звіт   4,5,6'!G92+'Звіт   4,5,6'!K92+'Звіт   4,5,6'!S92</f>
        <v>59987</v>
      </c>
      <c r="F64" s="294">
        <f>'Звіт   4,5,6'!O92</f>
        <v>347622</v>
      </c>
      <c r="G64" s="340" t="s">
        <v>280</v>
      </c>
      <c r="H64" s="337">
        <f t="shared" si="2"/>
        <v>0</v>
      </c>
    </row>
    <row r="65" spans="1:8" s="9" customFormat="1" ht="23.1" customHeight="1" thickBot="1" x14ac:dyDescent="0.35">
      <c r="A65" s="368">
        <v>7</v>
      </c>
      <c r="B65" s="369" t="s">
        <v>826</v>
      </c>
      <c r="C65" s="386" t="s">
        <v>888</v>
      </c>
      <c r="D65" s="370">
        <f>'Звіт   4,5,6'!E96</f>
        <v>0</v>
      </c>
      <c r="E65" s="371" t="s">
        <v>280</v>
      </c>
      <c r="F65" s="371" t="s">
        <v>280</v>
      </c>
      <c r="G65" s="372">
        <f>'Звіт   4,5,6'!E96</f>
        <v>0</v>
      </c>
      <c r="H65" s="337"/>
    </row>
    <row r="66" spans="1:8" ht="29.1" customHeight="1" x14ac:dyDescent="0.25">
      <c r="A66" s="507"/>
      <c r="B66" s="508" t="s">
        <v>1153</v>
      </c>
      <c r="C66" s="509" t="s">
        <v>1154</v>
      </c>
      <c r="D66" s="510">
        <f>'Звіт   4,5,6'!H34+'Звіт   4,5,6'!H35</f>
        <v>0</v>
      </c>
      <c r="E66" s="511"/>
      <c r="F66" s="511"/>
      <c r="G66" s="512"/>
      <c r="H66" s="326"/>
    </row>
    <row r="67" spans="1:8" s="76" customFormat="1" ht="83.25" customHeight="1" x14ac:dyDescent="0.25">
      <c r="A67" s="342"/>
      <c r="B67" s="506">
        <v>10</v>
      </c>
      <c r="C67" s="310" t="s">
        <v>1799</v>
      </c>
      <c r="D67" s="344">
        <f>D28-D46-D47-(D50+D66)</f>
        <v>4763483.72</v>
      </c>
      <c r="E67" s="513">
        <f>D28-D46-D47</f>
        <v>66992806.719999999</v>
      </c>
      <c r="F67" s="41">
        <f>D50+D66</f>
        <v>62229323</v>
      </c>
      <c r="G67" s="374">
        <f>E67-F67</f>
        <v>4763483.72</v>
      </c>
      <c r="H67" s="101"/>
    </row>
    <row r="68" spans="1:8" s="76" customFormat="1" ht="25.5" customHeight="1" x14ac:dyDescent="0.25">
      <c r="A68" s="342"/>
      <c r="B68" s="506" t="s">
        <v>1159</v>
      </c>
      <c r="C68" s="310" t="s">
        <v>1800</v>
      </c>
      <c r="D68" s="514">
        <f>G67*100/E67</f>
        <v>7.1</v>
      </c>
      <c r="E68" s="101"/>
      <c r="F68" s="373"/>
      <c r="G68" s="374"/>
      <c r="H68" s="101"/>
    </row>
    <row r="69" spans="1:8" s="76" customFormat="1" ht="81" customHeight="1" x14ac:dyDescent="0.25">
      <c r="A69" s="342"/>
      <c r="B69" s="506">
        <v>11</v>
      </c>
      <c r="C69" s="310" t="s">
        <v>1801</v>
      </c>
      <c r="D69" s="344">
        <f>D28-D46-D47-(D50+D66)+D92*1000</f>
        <v>4763483.72</v>
      </c>
      <c r="E69" s="513">
        <f>E67+D92*1000</f>
        <v>66992806.719999999</v>
      </c>
      <c r="F69" s="41">
        <f>F67</f>
        <v>62229323</v>
      </c>
      <c r="G69" s="374">
        <f>E69-F69</f>
        <v>4763483.72</v>
      </c>
      <c r="H69" s="101"/>
    </row>
    <row r="70" spans="1:8" s="76" customFormat="1" ht="33.75" customHeight="1" x14ac:dyDescent="0.25">
      <c r="A70" s="342"/>
      <c r="B70" s="506" t="s">
        <v>1160</v>
      </c>
      <c r="C70" s="310" t="s">
        <v>1802</v>
      </c>
      <c r="D70" s="514">
        <f>G69*100/E69</f>
        <v>7.1</v>
      </c>
      <c r="E70" s="101"/>
      <c r="F70" s="373"/>
      <c r="G70" s="374"/>
      <c r="H70" s="101"/>
    </row>
    <row r="71" spans="1:8" s="76" customFormat="1" ht="70.5" customHeight="1" x14ac:dyDescent="0.25">
      <c r="A71" s="342"/>
      <c r="B71" s="506">
        <v>12</v>
      </c>
      <c r="C71" s="310" t="s">
        <v>1803</v>
      </c>
      <c r="D71" s="344">
        <f>D28-D66-D51</f>
        <v>4722483.72</v>
      </c>
      <c r="E71" s="513">
        <f>D28</f>
        <v>67359415.719999999</v>
      </c>
      <c r="F71" s="41">
        <f>D51+D66</f>
        <v>62636932</v>
      </c>
      <c r="G71" s="374">
        <f>E71-F71</f>
        <v>4722483.72</v>
      </c>
      <c r="H71" s="101"/>
    </row>
    <row r="72" spans="1:8" s="76" customFormat="1" ht="27" customHeight="1" x14ac:dyDescent="0.25">
      <c r="A72" s="342"/>
      <c r="B72" s="506" t="s">
        <v>1161</v>
      </c>
      <c r="C72" s="310" t="s">
        <v>1804</v>
      </c>
      <c r="D72" s="514">
        <f>G71*100/E71</f>
        <v>7</v>
      </c>
      <c r="E72" s="101"/>
      <c r="F72" s="373"/>
      <c r="G72" s="374"/>
      <c r="H72" s="101"/>
    </row>
    <row r="73" spans="1:8" s="76" customFormat="1" ht="87" customHeight="1" x14ac:dyDescent="0.25">
      <c r="A73" s="342"/>
      <c r="B73" s="506">
        <v>13</v>
      </c>
      <c r="C73" s="310" t="s">
        <v>1805</v>
      </c>
      <c r="D73" s="344">
        <f>D28-D66-D51+D92*1000+D49</f>
        <v>4722483.72</v>
      </c>
      <c r="E73" s="513">
        <f>E71+D92*1000+D49</f>
        <v>67359415.719999999</v>
      </c>
      <c r="F73" s="41">
        <f>F71</f>
        <v>62636932</v>
      </c>
      <c r="G73" s="374">
        <f>E73-F73</f>
        <v>4722483.72</v>
      </c>
      <c r="H73" s="101"/>
    </row>
    <row r="74" spans="1:8" s="76" customFormat="1" ht="28.5" customHeight="1" x14ac:dyDescent="0.25">
      <c r="A74" s="342"/>
      <c r="B74" s="506" t="s">
        <v>1162</v>
      </c>
      <c r="C74" s="310" t="s">
        <v>1806</v>
      </c>
      <c r="D74" s="514">
        <f>G73*100/E73</f>
        <v>7</v>
      </c>
      <c r="E74" s="101"/>
      <c r="F74" s="376"/>
      <c r="G74" s="24"/>
      <c r="H74" s="101"/>
    </row>
    <row r="75" spans="1:8" s="76" customFormat="1" ht="25.5" customHeight="1" x14ac:dyDescent="0.25">
      <c r="B75" s="378"/>
      <c r="C75" s="378" t="s">
        <v>889</v>
      </c>
      <c r="D75" s="101"/>
      <c r="E75" s="101"/>
      <c r="F75" s="376"/>
      <c r="G75" s="24"/>
      <c r="H75" s="101"/>
    </row>
    <row r="76" spans="1:8" s="76" customFormat="1" ht="30.75" customHeight="1" x14ac:dyDescent="0.25">
      <c r="A76" s="342"/>
      <c r="B76" s="342">
        <f>'Звіт   9'!D32</f>
        <v>1125</v>
      </c>
      <c r="C76" s="310" t="s">
        <v>615</v>
      </c>
      <c r="D76" s="345">
        <f>'Звіт   9'!K32</f>
        <v>2.1</v>
      </c>
      <c r="E76" s="101"/>
      <c r="F76" s="376"/>
      <c r="G76" s="24"/>
      <c r="H76" s="101"/>
    </row>
    <row r="77" spans="1:8" s="76" customFormat="1" ht="28.5" customHeight="1" x14ac:dyDescent="0.25">
      <c r="A77" s="342"/>
      <c r="B77" s="342" t="s">
        <v>759</v>
      </c>
      <c r="C77" s="310" t="s">
        <v>1158</v>
      </c>
      <c r="D77" s="345">
        <f>'Звіт   9'!K33</f>
        <v>0</v>
      </c>
      <c r="E77" s="101"/>
      <c r="F77" s="376"/>
      <c r="G77" s="24"/>
      <c r="H77" s="101"/>
    </row>
    <row r="78" spans="1:8" s="76" customFormat="1" ht="41.25" customHeight="1" x14ac:dyDescent="0.25">
      <c r="A78" s="342"/>
      <c r="B78" s="342" t="s">
        <v>827</v>
      </c>
      <c r="C78" s="387" t="s">
        <v>774</v>
      </c>
      <c r="D78" s="345">
        <f>'Звіт   9'!K42</f>
        <v>0</v>
      </c>
      <c r="E78" s="101"/>
      <c r="F78" s="376"/>
      <c r="G78" s="24"/>
      <c r="H78" s="101"/>
    </row>
    <row r="79" spans="1:8" s="76" customFormat="1" ht="42.75" customHeight="1" x14ac:dyDescent="0.25">
      <c r="A79" s="342"/>
      <c r="B79" s="342" t="s">
        <v>828</v>
      </c>
      <c r="C79" s="387" t="s">
        <v>775</v>
      </c>
      <c r="D79" s="345">
        <f>'Звіт   9'!K43</f>
        <v>267</v>
      </c>
      <c r="E79" s="101"/>
      <c r="F79" s="376"/>
      <c r="G79" s="24"/>
      <c r="H79" s="101"/>
    </row>
    <row r="80" spans="1:8" s="76" customFormat="1" ht="30" customHeight="1" x14ac:dyDescent="0.25">
      <c r="A80" s="342"/>
      <c r="B80" s="342">
        <f>'Звіт   9'!D48</f>
        <v>1160</v>
      </c>
      <c r="C80" s="387" t="s">
        <v>616</v>
      </c>
      <c r="D80" s="345">
        <f>'Звіт   9'!K48</f>
        <v>0</v>
      </c>
      <c r="E80" s="101"/>
      <c r="F80" s="376"/>
      <c r="G80" s="24"/>
      <c r="H80" s="101"/>
    </row>
    <row r="81" spans="1:8" s="76" customFormat="1" ht="30" customHeight="1" x14ac:dyDescent="0.25">
      <c r="A81" s="342"/>
      <c r="B81" s="342">
        <f>'Звіт   9'!D49</f>
        <v>1165</v>
      </c>
      <c r="C81" s="310" t="s">
        <v>617</v>
      </c>
      <c r="D81" s="345">
        <f>'Звіт   9'!K49</f>
        <v>12727.5</v>
      </c>
      <c r="E81" s="101"/>
      <c r="F81" s="376"/>
      <c r="G81" s="24"/>
      <c r="H81" s="101"/>
    </row>
    <row r="82" spans="1:8" s="76" customFormat="1" ht="30" customHeight="1" x14ac:dyDescent="0.25">
      <c r="A82" s="342"/>
      <c r="B82" s="342">
        <v>1400</v>
      </c>
      <c r="C82" s="375" t="s">
        <v>618</v>
      </c>
      <c r="D82" s="345">
        <f>'Звіт   9'!K58</f>
        <v>46007.1</v>
      </c>
      <c r="E82" s="101"/>
      <c r="F82" s="376"/>
      <c r="G82" s="24"/>
      <c r="H82" s="101"/>
    </row>
    <row r="83" spans="1:8" s="76" customFormat="1" ht="34.5" customHeight="1" x14ac:dyDescent="0.25">
      <c r="A83" s="342"/>
      <c r="B83" s="342">
        <v>1420</v>
      </c>
      <c r="C83" s="310" t="s">
        <v>619</v>
      </c>
      <c r="D83" s="345">
        <f>'Звіт   9'!K64</f>
        <v>9466.1</v>
      </c>
      <c r="E83" s="101"/>
      <c r="F83" s="377"/>
      <c r="G83" s="346"/>
      <c r="H83" s="101"/>
    </row>
    <row r="84" spans="1:8" s="76" customFormat="1" ht="30" customHeight="1" x14ac:dyDescent="0.25">
      <c r="A84" s="342"/>
      <c r="B84" s="342">
        <f>'Звіт   9'!D65</f>
        <v>1425</v>
      </c>
      <c r="C84" s="375" t="s">
        <v>620</v>
      </c>
      <c r="D84" s="345">
        <f>'Звіт   9'!K65</f>
        <v>-21588</v>
      </c>
      <c r="E84" s="101"/>
      <c r="F84" s="376"/>
      <c r="G84" s="24"/>
      <c r="H84" s="101"/>
    </row>
    <row r="85" spans="1:8" s="76" customFormat="1" ht="28.5" customHeight="1" x14ac:dyDescent="0.25">
      <c r="A85" s="342"/>
      <c r="B85" s="342">
        <f>'Звіт   9'!D73</f>
        <v>1525</v>
      </c>
      <c r="C85" s="310" t="s">
        <v>621</v>
      </c>
      <c r="D85" s="345">
        <f>'Звіт   9'!K73</f>
        <v>30287.4</v>
      </c>
      <c r="E85" s="101"/>
      <c r="F85" s="377"/>
      <c r="G85" s="101"/>
      <c r="H85" s="101"/>
    </row>
    <row r="86" spans="1:8" s="76" customFormat="1" ht="39" customHeight="1" x14ac:dyDescent="0.25">
      <c r="A86" s="342"/>
      <c r="B86" s="343" t="s">
        <v>829</v>
      </c>
      <c r="C86" s="310" t="s">
        <v>890</v>
      </c>
      <c r="D86" s="345">
        <f>'Звіт   9'!K74</f>
        <v>29201.4</v>
      </c>
      <c r="E86" s="101"/>
      <c r="F86" s="376"/>
      <c r="G86" s="101"/>
      <c r="H86" s="101"/>
    </row>
    <row r="87" spans="1:8" s="76" customFormat="1" ht="45" customHeight="1" x14ac:dyDescent="0.25">
      <c r="A87" s="342"/>
      <c r="B87" s="343" t="s">
        <v>830</v>
      </c>
      <c r="C87" s="310" t="s">
        <v>891</v>
      </c>
      <c r="D87" s="345">
        <f>'Звіт   9'!K77</f>
        <v>191.9</v>
      </c>
      <c r="E87" s="101"/>
      <c r="F87" s="376"/>
      <c r="G87" s="101"/>
      <c r="H87" s="101"/>
    </row>
    <row r="88" spans="1:8" s="76" customFormat="1" ht="26.25" customHeight="1" x14ac:dyDescent="0.25">
      <c r="A88" s="342"/>
      <c r="B88" s="343" t="s">
        <v>831</v>
      </c>
      <c r="C88" s="375" t="s">
        <v>776</v>
      </c>
      <c r="D88" s="345">
        <f>'Звіт   9'!K78</f>
        <v>894.1</v>
      </c>
      <c r="E88" s="101"/>
      <c r="F88" s="376"/>
      <c r="G88" s="101"/>
      <c r="H88" s="101"/>
    </row>
    <row r="89" spans="1:8" s="76" customFormat="1" ht="30" customHeight="1" x14ac:dyDescent="0.25">
      <c r="A89" s="342"/>
      <c r="B89" s="342">
        <f>'Звіт   9'!D87</f>
        <v>1625</v>
      </c>
      <c r="C89" s="310" t="s">
        <v>892</v>
      </c>
      <c r="D89" s="345">
        <f>'Звіт   9'!K87</f>
        <v>863.7</v>
      </c>
      <c r="E89" s="101"/>
      <c r="F89" s="347"/>
      <c r="G89" s="101"/>
      <c r="H89" s="101"/>
    </row>
    <row r="90" spans="1:8" s="76" customFormat="1" ht="34.5" customHeight="1" x14ac:dyDescent="0.25">
      <c r="A90" s="342"/>
      <c r="B90" s="342">
        <f>'Звіт   9'!D88</f>
        <v>1630</v>
      </c>
      <c r="C90" s="375" t="s">
        <v>893</v>
      </c>
      <c r="D90" s="345">
        <f>'Звіт   9'!K88</f>
        <v>3300.6</v>
      </c>
      <c r="E90" s="101"/>
      <c r="F90" s="376"/>
      <c r="G90" s="101"/>
      <c r="H90" s="101"/>
    </row>
    <row r="91" spans="1:8" s="76" customFormat="1" ht="30" customHeight="1" x14ac:dyDescent="0.25">
      <c r="A91" s="342"/>
      <c r="B91" s="342">
        <f>'Звіт   9'!D92</f>
        <v>1635</v>
      </c>
      <c r="C91" s="310" t="s">
        <v>622</v>
      </c>
      <c r="D91" s="345">
        <f>'Звіт   9'!K92</f>
        <v>0</v>
      </c>
      <c r="E91" s="101"/>
      <c r="F91" s="101"/>
      <c r="G91" s="101"/>
      <c r="H91" s="101"/>
    </row>
    <row r="92" spans="1:8" s="76" customFormat="1" ht="27" customHeight="1" x14ac:dyDescent="0.25">
      <c r="A92" s="342"/>
      <c r="B92" s="342" t="s">
        <v>832</v>
      </c>
      <c r="C92" s="310" t="s">
        <v>777</v>
      </c>
      <c r="D92" s="345">
        <f>'Звіт   9'!K93</f>
        <v>0</v>
      </c>
      <c r="E92" s="101"/>
      <c r="F92" s="101"/>
      <c r="G92" s="101"/>
      <c r="H92" s="101"/>
    </row>
    <row r="93" spans="1:8" s="76" customFormat="1" x14ac:dyDescent="0.25">
      <c r="A93" s="80"/>
      <c r="B93" s="347"/>
      <c r="C93" s="347"/>
      <c r="D93" s="81"/>
      <c r="E93" s="81"/>
      <c r="F93" s="81"/>
      <c r="G93" s="81"/>
      <c r="H93" s="81"/>
    </row>
    <row r="94" spans="1:8" s="76" customFormat="1" x14ac:dyDescent="0.25">
      <c r="A94" s="80"/>
      <c r="B94" s="347"/>
      <c r="C94" s="347"/>
      <c r="D94" s="81"/>
      <c r="E94" s="81"/>
      <c r="F94" s="81"/>
      <c r="G94" s="81"/>
      <c r="H94" s="81"/>
    </row>
    <row r="95" spans="1:8" s="76" customFormat="1" x14ac:dyDescent="0.25">
      <c r="A95" s="80"/>
      <c r="B95" s="347"/>
      <c r="C95" s="347"/>
      <c r="D95" s="81"/>
      <c r="E95" s="81"/>
      <c r="F95" s="81"/>
      <c r="G95" s="81"/>
      <c r="H95" s="81"/>
    </row>
    <row r="96" spans="1:8" s="76" customFormat="1" x14ac:dyDescent="0.25">
      <c r="A96" s="80"/>
      <c r="B96" s="347"/>
      <c r="C96" s="347"/>
      <c r="D96" s="81"/>
      <c r="E96" s="81"/>
      <c r="F96" s="81"/>
      <c r="G96" s="81"/>
      <c r="H96" s="81"/>
    </row>
    <row r="97" spans="1:8" s="76" customFormat="1" x14ac:dyDescent="0.25">
      <c r="A97" s="80"/>
      <c r="B97" s="347"/>
      <c r="C97" s="347"/>
      <c r="D97" s="81"/>
      <c r="E97" s="81"/>
      <c r="F97" s="81"/>
      <c r="G97" s="81"/>
      <c r="H97" s="81"/>
    </row>
    <row r="98" spans="1:8" s="76" customFormat="1" x14ac:dyDescent="0.25">
      <c r="A98" s="80"/>
      <c r="B98" s="347"/>
      <c r="C98" s="347"/>
      <c r="D98" s="81"/>
      <c r="E98" s="81"/>
      <c r="F98" s="81"/>
      <c r="G98" s="81"/>
      <c r="H98" s="81"/>
    </row>
    <row r="99" spans="1:8" s="76" customFormat="1" x14ac:dyDescent="0.25">
      <c r="A99" s="80"/>
      <c r="B99" s="347"/>
      <c r="C99" s="347"/>
      <c r="D99" s="81"/>
      <c r="E99" s="81"/>
      <c r="F99" s="81"/>
      <c r="G99" s="81"/>
      <c r="H99" s="81"/>
    </row>
    <row r="100" spans="1:8" s="76" customFormat="1" x14ac:dyDescent="0.25">
      <c r="A100" s="80"/>
      <c r="B100" s="347"/>
      <c r="C100" s="347"/>
      <c r="D100" s="81"/>
      <c r="E100" s="81"/>
      <c r="F100" s="81"/>
      <c r="G100" s="81"/>
      <c r="H100" s="81"/>
    </row>
    <row r="101" spans="1:8" s="76" customFormat="1" x14ac:dyDescent="0.25">
      <c r="A101" s="80"/>
      <c r="B101" s="347"/>
      <c r="C101" s="347"/>
      <c r="D101" s="81"/>
      <c r="E101" s="81"/>
      <c r="F101" s="81"/>
      <c r="G101" s="81"/>
      <c r="H101" s="81"/>
    </row>
    <row r="102" spans="1:8" s="76" customFormat="1" x14ac:dyDescent="0.25">
      <c r="A102" s="80"/>
      <c r="B102" s="347"/>
      <c r="C102" s="347"/>
      <c r="D102" s="81"/>
      <c r="E102" s="81"/>
      <c r="F102" s="81"/>
      <c r="G102" s="81"/>
      <c r="H102" s="81"/>
    </row>
    <row r="103" spans="1:8" s="76" customFormat="1" x14ac:dyDescent="0.25">
      <c r="A103" s="80"/>
      <c r="B103" s="347"/>
      <c r="C103" s="347"/>
      <c r="D103" s="81"/>
      <c r="E103" s="81"/>
      <c r="F103" s="81"/>
      <c r="G103" s="81"/>
      <c r="H103" s="81"/>
    </row>
    <row r="104" spans="1:8" s="76" customFormat="1" x14ac:dyDescent="0.25">
      <c r="A104" s="80"/>
      <c r="B104" s="347"/>
      <c r="C104" s="347"/>
      <c r="D104" s="81"/>
      <c r="E104" s="81"/>
      <c r="F104" s="81"/>
      <c r="G104" s="81"/>
      <c r="H104" s="81"/>
    </row>
    <row r="105" spans="1:8" s="76" customFormat="1" x14ac:dyDescent="0.25">
      <c r="A105" s="80"/>
      <c r="B105" s="347"/>
      <c r="C105" s="347"/>
      <c r="D105" s="81"/>
      <c r="E105" s="81"/>
      <c r="F105" s="81"/>
      <c r="G105" s="81"/>
      <c r="H105" s="81"/>
    </row>
    <row r="106" spans="1:8" s="76" customFormat="1" x14ac:dyDescent="0.25">
      <c r="A106" s="80"/>
      <c r="B106" s="347"/>
      <c r="C106" s="347"/>
      <c r="D106" s="81"/>
      <c r="E106" s="81"/>
      <c r="F106" s="81"/>
      <c r="G106" s="81"/>
      <c r="H106" s="81"/>
    </row>
    <row r="107" spans="1:8" s="76" customFormat="1" x14ac:dyDescent="0.25">
      <c r="A107" s="80"/>
      <c r="B107" s="347"/>
      <c r="C107" s="347"/>
      <c r="D107" s="81"/>
      <c r="E107" s="81"/>
      <c r="F107" s="81"/>
      <c r="G107" s="81"/>
      <c r="H107" s="81"/>
    </row>
    <row r="108" spans="1:8" s="76" customFormat="1" x14ac:dyDescent="0.25">
      <c r="A108" s="80"/>
      <c r="B108" s="347"/>
      <c r="C108" s="347"/>
      <c r="D108" s="81"/>
      <c r="E108" s="81"/>
      <c r="F108" s="81"/>
      <c r="G108" s="81"/>
      <c r="H108" s="81"/>
    </row>
    <row r="109" spans="1:8" s="76" customFormat="1" x14ac:dyDescent="0.25">
      <c r="A109" s="80"/>
      <c r="B109" s="347"/>
      <c r="C109" s="347"/>
      <c r="D109" s="81"/>
      <c r="E109" s="81"/>
      <c r="F109" s="81"/>
      <c r="G109" s="81"/>
      <c r="H109" s="81"/>
    </row>
    <row r="110" spans="1:8" s="76" customFormat="1" x14ac:dyDescent="0.25">
      <c r="A110" s="80"/>
      <c r="B110" s="347"/>
      <c r="C110" s="347"/>
      <c r="D110" s="81"/>
      <c r="E110" s="81"/>
      <c r="F110" s="81"/>
      <c r="G110" s="81"/>
      <c r="H110" s="81"/>
    </row>
    <row r="111" spans="1:8" s="76" customFormat="1" x14ac:dyDescent="0.25">
      <c r="A111" s="80"/>
      <c r="B111" s="347"/>
      <c r="C111" s="347"/>
      <c r="D111" s="81"/>
      <c r="E111" s="81"/>
      <c r="F111" s="81"/>
      <c r="G111" s="81"/>
      <c r="H111" s="81"/>
    </row>
    <row r="112" spans="1:8" s="76" customFormat="1" x14ac:dyDescent="0.25">
      <c r="A112" s="80"/>
      <c r="B112" s="347"/>
      <c r="C112" s="347"/>
      <c r="D112" s="81"/>
      <c r="E112" s="81"/>
      <c r="F112" s="81"/>
      <c r="G112" s="81"/>
      <c r="H112" s="81"/>
    </row>
    <row r="113" spans="1:8" s="76" customFormat="1" x14ac:dyDescent="0.25">
      <c r="A113" s="80"/>
      <c r="B113" s="347"/>
      <c r="C113" s="347"/>
      <c r="D113" s="81"/>
      <c r="E113" s="81"/>
      <c r="F113" s="81"/>
      <c r="G113" s="81"/>
      <c r="H113" s="81"/>
    </row>
    <row r="114" spans="1:8" s="76" customFormat="1" x14ac:dyDescent="0.25">
      <c r="A114" s="80"/>
      <c r="B114" s="347"/>
      <c r="C114" s="347"/>
      <c r="D114" s="81"/>
      <c r="E114" s="81"/>
      <c r="F114" s="81"/>
      <c r="G114" s="81"/>
      <c r="H114" s="81"/>
    </row>
    <row r="115" spans="1:8" s="76" customFormat="1" x14ac:dyDescent="0.25">
      <c r="A115" s="80"/>
      <c r="B115" s="347"/>
      <c r="C115" s="347"/>
      <c r="D115" s="81"/>
      <c r="E115" s="81"/>
      <c r="F115" s="81"/>
      <c r="G115" s="81"/>
      <c r="H115" s="81"/>
    </row>
    <row r="116" spans="1:8" s="76" customFormat="1" x14ac:dyDescent="0.25">
      <c r="A116" s="80"/>
      <c r="B116" s="347"/>
      <c r="C116" s="347"/>
      <c r="D116" s="81"/>
      <c r="E116" s="81"/>
      <c r="F116" s="81"/>
      <c r="G116" s="81"/>
      <c r="H116" s="81"/>
    </row>
    <row r="117" spans="1:8" s="76" customFormat="1" x14ac:dyDescent="0.25">
      <c r="A117" s="80"/>
      <c r="B117" s="347"/>
      <c r="C117" s="347"/>
      <c r="D117" s="81"/>
      <c r="E117" s="81"/>
      <c r="F117" s="81"/>
      <c r="G117" s="81"/>
      <c r="H117" s="81"/>
    </row>
    <row r="118" spans="1:8" s="76" customFormat="1" x14ac:dyDescent="0.25">
      <c r="A118" s="80"/>
      <c r="B118" s="347"/>
      <c r="C118" s="347"/>
      <c r="D118" s="81"/>
      <c r="E118" s="81"/>
      <c r="F118" s="81"/>
      <c r="G118" s="81"/>
      <c r="H118" s="81"/>
    </row>
    <row r="119" spans="1:8" s="76" customFormat="1" x14ac:dyDescent="0.25">
      <c r="A119" s="80"/>
      <c r="B119" s="347"/>
      <c r="C119" s="347"/>
      <c r="D119" s="81"/>
      <c r="E119" s="81"/>
      <c r="F119" s="81"/>
      <c r="G119" s="81"/>
      <c r="H119" s="81"/>
    </row>
    <row r="120" spans="1:8" s="76" customFormat="1" x14ac:dyDescent="0.25">
      <c r="A120" s="80"/>
      <c r="B120" s="347"/>
      <c r="C120" s="347"/>
      <c r="D120" s="81"/>
      <c r="E120" s="81"/>
      <c r="F120" s="81"/>
      <c r="G120" s="81"/>
      <c r="H120" s="81"/>
    </row>
    <row r="121" spans="1:8" s="76" customFormat="1" x14ac:dyDescent="0.25">
      <c r="A121" s="80"/>
      <c r="B121" s="347"/>
      <c r="C121" s="347"/>
      <c r="D121" s="81"/>
      <c r="E121" s="81"/>
      <c r="F121" s="81"/>
      <c r="G121" s="81"/>
      <c r="H121" s="81"/>
    </row>
    <row r="122" spans="1:8" s="76" customFormat="1" x14ac:dyDescent="0.25">
      <c r="A122" s="80"/>
      <c r="B122" s="347"/>
      <c r="C122" s="347"/>
      <c r="D122" s="81"/>
      <c r="E122" s="81"/>
      <c r="F122" s="81"/>
      <c r="G122" s="81"/>
      <c r="H122" s="81"/>
    </row>
    <row r="123" spans="1:8" s="76" customFormat="1" x14ac:dyDescent="0.25">
      <c r="A123" s="80"/>
      <c r="B123" s="347"/>
      <c r="C123" s="347"/>
      <c r="D123" s="81"/>
      <c r="E123" s="81"/>
      <c r="F123" s="81"/>
      <c r="G123" s="81"/>
      <c r="H123" s="81"/>
    </row>
    <row r="124" spans="1:8" s="76" customFormat="1" x14ac:dyDescent="0.25">
      <c r="A124" s="80"/>
      <c r="B124" s="347"/>
      <c r="C124" s="347"/>
      <c r="D124" s="81"/>
      <c r="E124" s="81"/>
      <c r="F124" s="81"/>
      <c r="G124" s="81"/>
      <c r="H124" s="81"/>
    </row>
    <row r="125" spans="1:8" s="76" customFormat="1" x14ac:dyDescent="0.25">
      <c r="A125" s="80"/>
      <c r="B125" s="347"/>
      <c r="C125" s="347"/>
      <c r="D125" s="81"/>
      <c r="E125" s="81"/>
      <c r="F125" s="81"/>
      <c r="G125" s="81"/>
      <c r="H125" s="81"/>
    </row>
    <row r="126" spans="1:8" s="76" customFormat="1" x14ac:dyDescent="0.25">
      <c r="A126" s="80"/>
      <c r="B126" s="347"/>
      <c r="C126" s="347"/>
      <c r="D126" s="81"/>
      <c r="E126" s="81"/>
      <c r="F126" s="81"/>
      <c r="G126" s="81"/>
      <c r="H126" s="81"/>
    </row>
    <row r="127" spans="1:8" s="76" customFormat="1" x14ac:dyDescent="0.25">
      <c r="A127" s="80"/>
      <c r="B127" s="347"/>
      <c r="C127" s="347"/>
      <c r="D127" s="81"/>
      <c r="E127" s="81"/>
      <c r="F127" s="81"/>
      <c r="G127" s="81"/>
      <c r="H127" s="81"/>
    </row>
    <row r="128" spans="1:8" s="76" customFormat="1" x14ac:dyDescent="0.25">
      <c r="A128" s="80"/>
      <c r="B128" s="347"/>
      <c r="C128" s="347"/>
      <c r="D128" s="81"/>
      <c r="E128" s="81"/>
      <c r="F128" s="81"/>
      <c r="G128" s="81"/>
      <c r="H128" s="81"/>
    </row>
    <row r="129" spans="1:8" s="76" customFormat="1" x14ac:dyDescent="0.25">
      <c r="A129" s="80"/>
      <c r="B129" s="347"/>
      <c r="C129" s="347"/>
      <c r="D129" s="81"/>
      <c r="E129" s="81"/>
      <c r="F129" s="81"/>
      <c r="G129" s="81"/>
      <c r="H129" s="81"/>
    </row>
    <row r="130" spans="1:8" s="76" customFormat="1" x14ac:dyDescent="0.25">
      <c r="A130" s="80"/>
      <c r="B130" s="347"/>
      <c r="C130" s="347"/>
      <c r="D130" s="81"/>
      <c r="E130" s="81"/>
      <c r="F130" s="81"/>
      <c r="G130" s="81"/>
      <c r="H130" s="81"/>
    </row>
    <row r="131" spans="1:8" s="76" customFormat="1" x14ac:dyDescent="0.25">
      <c r="A131" s="80"/>
      <c r="B131" s="347"/>
      <c r="C131" s="347"/>
      <c r="D131" s="81"/>
      <c r="E131" s="81"/>
      <c r="F131" s="81"/>
      <c r="G131" s="81"/>
      <c r="H131" s="81"/>
    </row>
    <row r="132" spans="1:8" s="76" customFormat="1" x14ac:dyDescent="0.25">
      <c r="A132" s="80"/>
      <c r="B132" s="347"/>
      <c r="C132" s="347"/>
      <c r="D132" s="81"/>
      <c r="E132" s="81"/>
      <c r="F132" s="81"/>
      <c r="G132" s="81"/>
      <c r="H132" s="81"/>
    </row>
    <row r="133" spans="1:8" s="76" customFormat="1" x14ac:dyDescent="0.25">
      <c r="A133" s="80"/>
      <c r="B133" s="347"/>
      <c r="C133" s="347"/>
      <c r="D133" s="81"/>
      <c r="E133" s="81"/>
      <c r="F133" s="81"/>
      <c r="G133" s="81"/>
      <c r="H133" s="81"/>
    </row>
    <row r="134" spans="1:8" s="76" customFormat="1" x14ac:dyDescent="0.25">
      <c r="A134" s="80"/>
      <c r="B134" s="347"/>
      <c r="C134" s="347"/>
      <c r="D134" s="81"/>
      <c r="E134" s="81"/>
      <c r="F134" s="81"/>
      <c r="G134" s="81"/>
      <c r="H134" s="81"/>
    </row>
    <row r="135" spans="1:8" s="76" customFormat="1" x14ac:dyDescent="0.25">
      <c r="A135" s="80"/>
      <c r="B135" s="347"/>
      <c r="C135" s="347"/>
      <c r="D135" s="81"/>
      <c r="E135" s="81"/>
      <c r="F135" s="81"/>
      <c r="G135" s="81"/>
      <c r="H135" s="81"/>
    </row>
    <row r="136" spans="1:8" s="76" customFormat="1" x14ac:dyDescent="0.25">
      <c r="A136" s="80"/>
      <c r="B136" s="347"/>
      <c r="C136" s="347"/>
      <c r="D136" s="81"/>
      <c r="E136" s="81"/>
      <c r="F136" s="81"/>
      <c r="G136" s="81"/>
      <c r="H136" s="81"/>
    </row>
    <row r="137" spans="1:8" s="76" customFormat="1" x14ac:dyDescent="0.25">
      <c r="A137" s="80"/>
      <c r="B137" s="347"/>
      <c r="C137" s="347"/>
      <c r="D137" s="81"/>
      <c r="E137" s="81"/>
      <c r="F137" s="81"/>
      <c r="G137" s="81"/>
      <c r="H137" s="81"/>
    </row>
    <row r="138" spans="1:8" s="76" customFormat="1" x14ac:dyDescent="0.25">
      <c r="A138" s="80"/>
      <c r="B138" s="347"/>
      <c r="C138" s="347"/>
      <c r="D138" s="81"/>
      <c r="E138" s="81"/>
      <c r="F138" s="81"/>
      <c r="G138" s="81"/>
      <c r="H138" s="81"/>
    </row>
    <row r="139" spans="1:8" s="76" customFormat="1" x14ac:dyDescent="0.25">
      <c r="A139" s="80"/>
      <c r="B139" s="347"/>
      <c r="C139" s="347"/>
      <c r="D139" s="81"/>
      <c r="E139" s="81"/>
      <c r="F139" s="81"/>
      <c r="G139" s="81"/>
      <c r="H139" s="81"/>
    </row>
    <row r="140" spans="1:8" s="76" customFormat="1" x14ac:dyDescent="0.25">
      <c r="A140" s="80"/>
      <c r="B140" s="347"/>
      <c r="C140" s="347"/>
      <c r="D140" s="81"/>
      <c r="E140" s="81"/>
      <c r="F140" s="81"/>
      <c r="G140" s="81"/>
      <c r="H140" s="81"/>
    </row>
    <row r="141" spans="1:8" s="76" customFormat="1" x14ac:dyDescent="0.25">
      <c r="A141" s="80"/>
      <c r="B141" s="347"/>
      <c r="C141" s="347"/>
      <c r="D141" s="81"/>
      <c r="E141" s="81"/>
      <c r="F141" s="81"/>
      <c r="G141" s="81"/>
      <c r="H141" s="81"/>
    </row>
    <row r="142" spans="1:8" s="76" customFormat="1" x14ac:dyDescent="0.25">
      <c r="A142" s="80"/>
      <c r="B142" s="347"/>
      <c r="C142" s="347"/>
      <c r="D142" s="81"/>
      <c r="E142" s="81"/>
      <c r="F142" s="81"/>
      <c r="G142" s="81"/>
      <c r="H142" s="81"/>
    </row>
    <row r="143" spans="1:8" s="76" customFormat="1" x14ac:dyDescent="0.25">
      <c r="A143" s="80"/>
      <c r="B143" s="347"/>
      <c r="C143" s="347"/>
      <c r="D143" s="81"/>
      <c r="E143" s="81"/>
      <c r="F143" s="81"/>
      <c r="G143" s="81"/>
      <c r="H143" s="81"/>
    </row>
    <row r="144" spans="1:8" s="76" customFormat="1" x14ac:dyDescent="0.25">
      <c r="A144" s="80"/>
      <c r="B144" s="347"/>
      <c r="C144" s="347"/>
      <c r="D144" s="81"/>
      <c r="E144" s="81"/>
      <c r="F144" s="81"/>
      <c r="G144" s="81"/>
      <c r="H144" s="81"/>
    </row>
    <row r="145" spans="1:8" s="76" customFormat="1" x14ac:dyDescent="0.25">
      <c r="A145" s="80"/>
      <c r="B145" s="347"/>
      <c r="C145" s="347"/>
      <c r="D145" s="81"/>
      <c r="E145" s="81"/>
      <c r="F145" s="81"/>
      <c r="G145" s="81"/>
      <c r="H145" s="81"/>
    </row>
    <row r="146" spans="1:8" s="76" customFormat="1" x14ac:dyDescent="0.25">
      <c r="A146" s="80"/>
      <c r="B146" s="347"/>
      <c r="C146" s="347"/>
      <c r="D146" s="81"/>
      <c r="E146" s="81"/>
      <c r="F146" s="81"/>
      <c r="G146" s="81"/>
      <c r="H146" s="81"/>
    </row>
    <row r="147" spans="1:8" s="76" customFormat="1" x14ac:dyDescent="0.25">
      <c r="A147" s="80"/>
      <c r="B147" s="347"/>
      <c r="C147" s="347"/>
      <c r="D147" s="81"/>
      <c r="E147" s="81"/>
      <c r="F147" s="81"/>
      <c r="G147" s="81"/>
      <c r="H147" s="81"/>
    </row>
    <row r="148" spans="1:8" s="76" customFormat="1" x14ac:dyDescent="0.25">
      <c r="A148" s="80"/>
      <c r="B148" s="347"/>
      <c r="C148" s="347"/>
      <c r="D148" s="81"/>
      <c r="E148" s="81"/>
      <c r="F148" s="81"/>
      <c r="G148" s="81"/>
      <c r="H148" s="81"/>
    </row>
    <row r="149" spans="1:8" s="76" customFormat="1" x14ac:dyDescent="0.25">
      <c r="A149" s="80"/>
      <c r="B149" s="347"/>
      <c r="C149" s="347"/>
      <c r="D149" s="81"/>
      <c r="E149" s="81"/>
      <c r="F149" s="81"/>
      <c r="G149" s="81"/>
      <c r="H149" s="81"/>
    </row>
    <row r="150" spans="1:8" s="76" customFormat="1" x14ac:dyDescent="0.25">
      <c r="A150" s="80"/>
      <c r="B150" s="347"/>
      <c r="C150" s="347"/>
      <c r="D150" s="81"/>
      <c r="E150" s="81"/>
      <c r="F150" s="81"/>
      <c r="G150" s="81"/>
      <c r="H150" s="81"/>
    </row>
    <row r="151" spans="1:8" s="76" customFormat="1" x14ac:dyDescent="0.25">
      <c r="A151" s="80"/>
      <c r="B151" s="347"/>
      <c r="C151" s="347"/>
      <c r="D151" s="81"/>
      <c r="E151" s="81"/>
      <c r="F151" s="81"/>
      <c r="G151" s="81"/>
      <c r="H151" s="81"/>
    </row>
    <row r="152" spans="1:8" s="76" customFormat="1" x14ac:dyDescent="0.25">
      <c r="A152" s="80"/>
      <c r="B152" s="347"/>
      <c r="C152" s="347"/>
      <c r="D152" s="81"/>
      <c r="E152" s="81"/>
      <c r="F152" s="81"/>
      <c r="G152" s="81"/>
      <c r="H152" s="81"/>
    </row>
    <row r="153" spans="1:8" s="76" customFormat="1" x14ac:dyDescent="0.25">
      <c r="A153" s="80"/>
      <c r="B153" s="347"/>
      <c r="C153" s="347"/>
      <c r="D153" s="81"/>
      <c r="E153" s="81"/>
      <c r="F153" s="81"/>
      <c r="G153" s="81"/>
      <c r="H153" s="81"/>
    </row>
    <row r="154" spans="1:8" s="76" customFormat="1" x14ac:dyDescent="0.25">
      <c r="A154" s="80"/>
      <c r="B154" s="347"/>
      <c r="C154" s="347"/>
      <c r="D154" s="81"/>
      <c r="E154" s="81"/>
      <c r="F154" s="81"/>
      <c r="G154" s="81"/>
      <c r="H154" s="81"/>
    </row>
    <row r="155" spans="1:8" s="76" customFormat="1" x14ac:dyDescent="0.25">
      <c r="A155" s="80"/>
      <c r="B155" s="347"/>
      <c r="C155" s="347"/>
      <c r="D155" s="81"/>
      <c r="E155" s="81"/>
      <c r="F155" s="81"/>
      <c r="G155" s="81"/>
      <c r="H155" s="81"/>
    </row>
    <row r="156" spans="1:8" s="76" customFormat="1" x14ac:dyDescent="0.25">
      <c r="A156" s="80"/>
      <c r="B156" s="347"/>
      <c r="C156" s="347"/>
      <c r="D156" s="81"/>
      <c r="E156" s="81"/>
      <c r="F156" s="81"/>
      <c r="G156" s="81"/>
      <c r="H156" s="81"/>
    </row>
    <row r="157" spans="1:8" s="76" customFormat="1" x14ac:dyDescent="0.25">
      <c r="A157" s="80"/>
      <c r="B157" s="347"/>
      <c r="C157" s="347"/>
      <c r="D157" s="81"/>
      <c r="E157" s="81"/>
      <c r="F157" s="81"/>
      <c r="G157" s="81"/>
      <c r="H157" s="81"/>
    </row>
    <row r="158" spans="1:8" s="76" customFormat="1" x14ac:dyDescent="0.25">
      <c r="A158" s="80"/>
      <c r="B158" s="347"/>
      <c r="C158" s="347"/>
      <c r="D158" s="81"/>
      <c r="E158" s="81"/>
      <c r="F158" s="81"/>
      <c r="G158" s="81"/>
      <c r="H158" s="81"/>
    </row>
    <row r="159" spans="1:8" s="76" customFormat="1" x14ac:dyDescent="0.25">
      <c r="A159" s="80"/>
      <c r="B159" s="347"/>
      <c r="C159" s="347"/>
      <c r="D159" s="81"/>
      <c r="E159" s="81"/>
      <c r="F159" s="81"/>
      <c r="G159" s="81"/>
      <c r="H159" s="81"/>
    </row>
    <row r="160" spans="1:8" s="76" customFormat="1" x14ac:dyDescent="0.25">
      <c r="A160" s="80"/>
      <c r="B160" s="347"/>
      <c r="C160" s="347"/>
      <c r="D160" s="81"/>
      <c r="E160" s="81"/>
      <c r="F160" s="81"/>
      <c r="G160" s="81"/>
      <c r="H160" s="81"/>
    </row>
    <row r="161" spans="1:8" s="76" customFormat="1" x14ac:dyDescent="0.25">
      <c r="A161" s="80"/>
      <c r="B161" s="347"/>
      <c r="C161" s="347"/>
      <c r="D161" s="81"/>
      <c r="E161" s="81"/>
      <c r="F161" s="81"/>
      <c r="G161" s="81"/>
      <c r="H161" s="81"/>
    </row>
    <row r="162" spans="1:8" s="76" customFormat="1" x14ac:dyDescent="0.25">
      <c r="A162" s="80"/>
      <c r="B162" s="347"/>
      <c r="C162" s="347"/>
      <c r="D162" s="81"/>
      <c r="E162" s="81"/>
      <c r="F162" s="81"/>
      <c r="G162" s="81"/>
      <c r="H162" s="81"/>
    </row>
    <row r="163" spans="1:8" s="76" customFormat="1" x14ac:dyDescent="0.25">
      <c r="A163" s="80"/>
      <c r="B163" s="347"/>
      <c r="C163" s="347"/>
      <c r="D163" s="81"/>
      <c r="E163" s="81"/>
      <c r="F163" s="81"/>
      <c r="G163" s="81"/>
      <c r="H163" s="81"/>
    </row>
    <row r="164" spans="1:8" s="76" customFormat="1" x14ac:dyDescent="0.25">
      <c r="A164" s="80"/>
      <c r="B164" s="347"/>
      <c r="C164" s="347"/>
      <c r="D164" s="81"/>
      <c r="E164" s="81"/>
      <c r="F164" s="81"/>
      <c r="G164" s="81"/>
      <c r="H164" s="81"/>
    </row>
    <row r="165" spans="1:8" s="76" customFormat="1" x14ac:dyDescent="0.25">
      <c r="A165" s="80"/>
      <c r="B165" s="347"/>
      <c r="C165" s="347"/>
      <c r="D165" s="81"/>
      <c r="E165" s="81"/>
      <c r="F165" s="81"/>
      <c r="G165" s="81"/>
      <c r="H165" s="81"/>
    </row>
    <row r="166" spans="1:8" s="76" customFormat="1" x14ac:dyDescent="0.25">
      <c r="A166" s="80"/>
      <c r="B166" s="347"/>
      <c r="C166" s="347"/>
      <c r="D166" s="81"/>
      <c r="E166" s="81"/>
      <c r="F166" s="81"/>
      <c r="G166" s="81"/>
      <c r="H166" s="81"/>
    </row>
    <row r="167" spans="1:8" s="76" customFormat="1" x14ac:dyDescent="0.25">
      <c r="A167" s="80"/>
      <c r="B167" s="347"/>
      <c r="C167" s="347"/>
      <c r="D167" s="81"/>
      <c r="E167" s="81"/>
      <c r="F167" s="81"/>
      <c r="G167" s="81"/>
      <c r="H167" s="81"/>
    </row>
    <row r="168" spans="1:8" s="76" customFormat="1" x14ac:dyDescent="0.25">
      <c r="A168" s="80"/>
      <c r="B168" s="347"/>
      <c r="C168" s="347"/>
      <c r="D168" s="81"/>
      <c r="E168" s="81"/>
      <c r="F168" s="81"/>
      <c r="G168" s="81"/>
      <c r="H168" s="81"/>
    </row>
    <row r="169" spans="1:8" s="76" customFormat="1" x14ac:dyDescent="0.25">
      <c r="A169" s="80"/>
      <c r="B169" s="347"/>
      <c r="C169" s="347"/>
      <c r="D169" s="81"/>
      <c r="E169" s="81"/>
      <c r="F169" s="81"/>
      <c r="G169" s="81"/>
      <c r="H169" s="81"/>
    </row>
    <row r="170" spans="1:8" s="76" customFormat="1" x14ac:dyDescent="0.25">
      <c r="A170" s="80"/>
      <c r="B170" s="347"/>
      <c r="C170" s="347"/>
      <c r="D170" s="81"/>
      <c r="E170" s="81"/>
      <c r="F170" s="81"/>
      <c r="G170" s="81"/>
      <c r="H170" s="81"/>
    </row>
    <row r="171" spans="1:8" s="76" customFormat="1" x14ac:dyDescent="0.25">
      <c r="A171" s="80"/>
      <c r="B171" s="347"/>
      <c r="C171" s="347"/>
      <c r="D171" s="81"/>
      <c r="E171" s="81"/>
      <c r="F171" s="81"/>
      <c r="G171" s="81"/>
      <c r="H171" s="81"/>
    </row>
    <row r="172" spans="1:8" s="76" customFormat="1" x14ac:dyDescent="0.25">
      <c r="A172" s="80"/>
      <c r="B172" s="347"/>
      <c r="C172" s="347"/>
      <c r="D172" s="81"/>
      <c r="E172" s="81"/>
      <c r="F172" s="81"/>
      <c r="G172" s="81"/>
      <c r="H172" s="81"/>
    </row>
    <row r="173" spans="1:8" s="76" customFormat="1" x14ac:dyDescent="0.25">
      <c r="A173" s="80"/>
      <c r="B173" s="347"/>
      <c r="C173" s="347"/>
      <c r="D173" s="81"/>
      <c r="E173" s="81"/>
      <c r="F173" s="81"/>
      <c r="G173" s="81"/>
      <c r="H173" s="81"/>
    </row>
    <row r="174" spans="1:8" s="76" customFormat="1" x14ac:dyDescent="0.25">
      <c r="A174" s="80"/>
      <c r="B174" s="347"/>
      <c r="C174" s="347"/>
      <c r="D174" s="81"/>
      <c r="E174" s="81"/>
      <c r="F174" s="81"/>
      <c r="G174" s="81"/>
      <c r="H174" s="81"/>
    </row>
    <row r="175" spans="1:8" s="76" customFormat="1" x14ac:dyDescent="0.25">
      <c r="A175" s="80"/>
      <c r="B175" s="347"/>
      <c r="C175" s="347"/>
      <c r="D175" s="81"/>
      <c r="E175" s="81"/>
      <c r="F175" s="81"/>
      <c r="G175" s="81"/>
      <c r="H175" s="81"/>
    </row>
    <row r="176" spans="1:8" s="76" customFormat="1" x14ac:dyDescent="0.25">
      <c r="A176" s="80"/>
      <c r="B176" s="347"/>
      <c r="C176" s="347"/>
      <c r="D176" s="81"/>
      <c r="E176" s="81"/>
      <c r="F176" s="81"/>
      <c r="G176" s="81"/>
      <c r="H176" s="81"/>
    </row>
    <row r="177" spans="1:8" s="76" customFormat="1" x14ac:dyDescent="0.25">
      <c r="A177" s="80"/>
      <c r="B177" s="347"/>
      <c r="C177" s="347"/>
      <c r="D177" s="81"/>
      <c r="E177" s="81"/>
      <c r="F177" s="81"/>
      <c r="G177" s="81"/>
      <c r="H177" s="81"/>
    </row>
    <row r="178" spans="1:8" s="76" customFormat="1" x14ac:dyDescent="0.25">
      <c r="A178" s="80"/>
      <c r="B178" s="347"/>
      <c r="C178" s="347"/>
      <c r="D178" s="81"/>
      <c r="E178" s="81"/>
      <c r="F178" s="81"/>
      <c r="G178" s="81"/>
      <c r="H178" s="81"/>
    </row>
    <row r="179" spans="1:8" s="76" customFormat="1" x14ac:dyDescent="0.25">
      <c r="A179" s="80"/>
      <c r="B179" s="347"/>
      <c r="C179" s="347"/>
      <c r="D179" s="81"/>
      <c r="E179" s="81"/>
      <c r="F179" s="81"/>
      <c r="G179" s="81"/>
      <c r="H179" s="81"/>
    </row>
    <row r="180" spans="1:8" s="76" customFormat="1" x14ac:dyDescent="0.25">
      <c r="A180" s="80"/>
      <c r="B180" s="347"/>
      <c r="C180" s="347"/>
      <c r="D180" s="81"/>
      <c r="E180" s="81"/>
      <c r="F180" s="81"/>
      <c r="G180" s="81"/>
      <c r="H180" s="81"/>
    </row>
    <row r="181" spans="1:8" s="76" customFormat="1" x14ac:dyDescent="0.25">
      <c r="A181" s="80"/>
      <c r="B181" s="347"/>
      <c r="C181" s="347"/>
      <c r="D181" s="81"/>
      <c r="E181" s="81"/>
      <c r="F181" s="81"/>
      <c r="G181" s="81"/>
      <c r="H181" s="81"/>
    </row>
    <row r="182" spans="1:8" s="76" customFormat="1" x14ac:dyDescent="0.25">
      <c r="A182" s="80"/>
      <c r="B182" s="347"/>
      <c r="C182" s="347"/>
      <c r="D182" s="81"/>
      <c r="E182" s="81"/>
      <c r="F182" s="81"/>
      <c r="G182" s="81"/>
      <c r="H182" s="81"/>
    </row>
    <row r="183" spans="1:8" s="76" customFormat="1" x14ac:dyDescent="0.25">
      <c r="A183" s="80"/>
      <c r="B183" s="347"/>
      <c r="C183" s="347"/>
      <c r="D183" s="81"/>
      <c r="E183" s="81"/>
      <c r="F183" s="81"/>
      <c r="G183" s="81"/>
      <c r="H183" s="81"/>
    </row>
    <row r="184" spans="1:8" s="76" customFormat="1" x14ac:dyDescent="0.25">
      <c r="A184" s="80"/>
      <c r="B184" s="347"/>
      <c r="C184" s="347"/>
      <c r="D184" s="81"/>
      <c r="E184" s="81"/>
      <c r="F184" s="81"/>
      <c r="G184" s="81"/>
      <c r="H184" s="81"/>
    </row>
    <row r="185" spans="1:8" s="76" customFormat="1" x14ac:dyDescent="0.25">
      <c r="A185" s="80"/>
      <c r="B185" s="347"/>
      <c r="C185" s="347"/>
      <c r="D185" s="81"/>
      <c r="E185" s="81"/>
      <c r="F185" s="81"/>
      <c r="G185" s="81"/>
      <c r="H185" s="81"/>
    </row>
    <row r="186" spans="1:8" s="76" customFormat="1" x14ac:dyDescent="0.25">
      <c r="A186" s="80"/>
      <c r="B186" s="347"/>
      <c r="C186" s="347"/>
      <c r="D186" s="81"/>
      <c r="E186" s="81"/>
      <c r="F186" s="81"/>
      <c r="G186" s="81"/>
      <c r="H186" s="81"/>
    </row>
    <row r="187" spans="1:8" s="76" customFormat="1" x14ac:dyDescent="0.25">
      <c r="A187" s="80"/>
      <c r="B187" s="347"/>
      <c r="C187" s="347"/>
      <c r="D187" s="81"/>
      <c r="E187" s="81"/>
      <c r="F187" s="81"/>
      <c r="G187" s="81"/>
      <c r="H187" s="81"/>
    </row>
    <row r="188" spans="1:8" s="76" customFormat="1" x14ac:dyDescent="0.25">
      <c r="A188" s="80"/>
      <c r="B188" s="347"/>
      <c r="C188" s="347"/>
      <c r="D188" s="81"/>
      <c r="E188" s="81"/>
      <c r="F188" s="81"/>
      <c r="G188" s="81"/>
      <c r="H188" s="81"/>
    </row>
    <row r="189" spans="1:8" s="76" customFormat="1" x14ac:dyDescent="0.25">
      <c r="A189" s="80"/>
      <c r="B189" s="347"/>
      <c r="C189" s="347"/>
      <c r="D189" s="81"/>
      <c r="E189" s="81"/>
      <c r="F189" s="81"/>
      <c r="G189" s="81"/>
      <c r="H189" s="81"/>
    </row>
    <row r="190" spans="1:8" s="76" customFormat="1" x14ac:dyDescent="0.25">
      <c r="A190" s="80"/>
      <c r="B190" s="347"/>
      <c r="C190" s="347"/>
      <c r="D190" s="81"/>
      <c r="E190" s="81"/>
      <c r="F190" s="81"/>
      <c r="G190" s="81"/>
      <c r="H190" s="81"/>
    </row>
    <row r="191" spans="1:8" s="76" customFormat="1" x14ac:dyDescent="0.25">
      <c r="A191" s="80"/>
      <c r="B191" s="347"/>
      <c r="C191" s="347"/>
      <c r="D191" s="81"/>
      <c r="E191" s="81"/>
      <c r="F191" s="81"/>
      <c r="G191" s="81"/>
      <c r="H191" s="81"/>
    </row>
    <row r="192" spans="1:8" s="76" customFormat="1" x14ac:dyDescent="0.25">
      <c r="A192" s="80"/>
      <c r="B192" s="347"/>
      <c r="C192" s="347"/>
      <c r="D192" s="81"/>
      <c r="E192" s="81"/>
      <c r="F192" s="81"/>
      <c r="G192" s="81"/>
      <c r="H192" s="81"/>
    </row>
    <row r="193" spans="1:8" s="76" customFormat="1" x14ac:dyDescent="0.25">
      <c r="A193" s="80"/>
      <c r="B193" s="347"/>
      <c r="C193" s="347"/>
      <c r="D193" s="81"/>
      <c r="E193" s="81"/>
      <c r="F193" s="81"/>
      <c r="G193" s="81"/>
      <c r="H193" s="81"/>
    </row>
    <row r="194" spans="1:8" s="76" customFormat="1" x14ac:dyDescent="0.25">
      <c r="A194" s="80"/>
      <c r="B194" s="347"/>
      <c r="C194" s="347"/>
      <c r="D194" s="81"/>
      <c r="E194" s="81"/>
      <c r="F194" s="81"/>
      <c r="G194" s="81"/>
      <c r="H194" s="81"/>
    </row>
    <row r="195" spans="1:8" s="76" customFormat="1" x14ac:dyDescent="0.25">
      <c r="A195" s="80"/>
      <c r="B195" s="347"/>
      <c r="C195" s="347"/>
      <c r="D195" s="81"/>
      <c r="E195" s="81"/>
      <c r="F195" s="81"/>
      <c r="G195" s="81"/>
      <c r="H195" s="81"/>
    </row>
    <row r="196" spans="1:8" s="76" customFormat="1" x14ac:dyDescent="0.25">
      <c r="A196" s="80"/>
      <c r="B196" s="347"/>
      <c r="C196" s="347"/>
      <c r="D196" s="81"/>
      <c r="E196" s="81"/>
      <c r="F196" s="81"/>
      <c r="G196" s="81"/>
      <c r="H196" s="81"/>
    </row>
    <row r="197" spans="1:8" s="76" customFormat="1" x14ac:dyDescent="0.25">
      <c r="A197" s="80"/>
      <c r="B197" s="347"/>
      <c r="C197" s="347"/>
      <c r="D197" s="81"/>
      <c r="E197" s="81"/>
      <c r="F197" s="81"/>
      <c r="G197" s="81"/>
      <c r="H197" s="81"/>
    </row>
    <row r="198" spans="1:8" s="76" customFormat="1" x14ac:dyDescent="0.25">
      <c r="A198" s="80"/>
      <c r="B198" s="347"/>
      <c r="C198" s="347"/>
      <c r="D198" s="81"/>
      <c r="E198" s="81"/>
      <c r="F198" s="81"/>
      <c r="G198" s="81"/>
      <c r="H198" s="81"/>
    </row>
    <row r="199" spans="1:8" s="76" customFormat="1" x14ac:dyDescent="0.25">
      <c r="A199" s="80"/>
      <c r="B199" s="347"/>
      <c r="C199" s="347"/>
      <c r="D199" s="81"/>
      <c r="E199" s="81"/>
      <c r="F199" s="81"/>
      <c r="G199" s="81"/>
      <c r="H199" s="81"/>
    </row>
    <row r="200" spans="1:8" s="76" customFormat="1" x14ac:dyDescent="0.25">
      <c r="A200" s="80"/>
      <c r="B200" s="347"/>
      <c r="C200" s="347"/>
      <c r="D200" s="81"/>
      <c r="E200" s="81"/>
      <c r="F200" s="81"/>
      <c r="G200" s="81"/>
      <c r="H200" s="81"/>
    </row>
    <row r="201" spans="1:8" s="76" customFormat="1" x14ac:dyDescent="0.25">
      <c r="A201" s="80"/>
      <c r="B201" s="347"/>
      <c r="C201" s="347"/>
      <c r="D201" s="81"/>
      <c r="E201" s="81"/>
      <c r="F201" s="81"/>
      <c r="G201" s="81"/>
      <c r="H201" s="81"/>
    </row>
    <row r="202" spans="1:8" s="76" customFormat="1" x14ac:dyDescent="0.25">
      <c r="A202" s="80"/>
      <c r="B202" s="347"/>
      <c r="C202" s="347"/>
      <c r="D202" s="81"/>
      <c r="E202" s="81"/>
      <c r="F202" s="81"/>
      <c r="G202" s="81"/>
      <c r="H202" s="81"/>
    </row>
    <row r="203" spans="1:8" s="76" customFormat="1" x14ac:dyDescent="0.25">
      <c r="A203" s="80"/>
      <c r="B203" s="347"/>
      <c r="C203" s="347"/>
      <c r="D203" s="81"/>
      <c r="E203" s="81"/>
      <c r="F203" s="81"/>
      <c r="G203" s="81"/>
      <c r="H203" s="81"/>
    </row>
    <row r="204" spans="1:8" s="76" customFormat="1" x14ac:dyDescent="0.25">
      <c r="A204" s="80"/>
      <c r="B204" s="347"/>
      <c r="C204" s="347"/>
      <c r="D204" s="81"/>
      <c r="E204" s="81"/>
      <c r="F204" s="81"/>
      <c r="G204" s="81"/>
      <c r="H204" s="81"/>
    </row>
    <row r="205" spans="1:8" s="76" customFormat="1" x14ac:dyDescent="0.25">
      <c r="A205" s="80"/>
      <c r="B205" s="347"/>
      <c r="C205" s="347"/>
      <c r="D205" s="81"/>
      <c r="E205" s="81"/>
      <c r="F205" s="81"/>
      <c r="G205" s="81"/>
      <c r="H205" s="81"/>
    </row>
    <row r="206" spans="1:8" s="76" customFormat="1" x14ac:dyDescent="0.25">
      <c r="A206" s="80"/>
      <c r="B206" s="347"/>
      <c r="C206" s="347"/>
      <c r="D206" s="81"/>
      <c r="E206" s="81"/>
      <c r="F206" s="81"/>
      <c r="G206" s="81"/>
      <c r="H206" s="81"/>
    </row>
    <row r="207" spans="1:8" s="76" customFormat="1" x14ac:dyDescent="0.25">
      <c r="A207" s="80"/>
      <c r="B207" s="347"/>
      <c r="C207" s="347"/>
      <c r="D207" s="81"/>
      <c r="E207" s="81"/>
      <c r="F207" s="81"/>
      <c r="G207" s="81"/>
      <c r="H207" s="81"/>
    </row>
    <row r="208" spans="1:8" s="76" customFormat="1" x14ac:dyDescent="0.25">
      <c r="A208" s="80"/>
      <c r="B208" s="347"/>
      <c r="C208" s="347"/>
      <c r="D208" s="81"/>
      <c r="E208" s="81"/>
      <c r="F208" s="81"/>
      <c r="G208" s="81"/>
      <c r="H208" s="81"/>
    </row>
    <row r="209" spans="1:8" s="76" customFormat="1" x14ac:dyDescent="0.25">
      <c r="A209" s="80"/>
      <c r="B209" s="347"/>
      <c r="C209" s="347"/>
      <c r="D209" s="81"/>
      <c r="E209" s="81"/>
      <c r="F209" s="81"/>
      <c r="G209" s="81"/>
      <c r="H209" s="81"/>
    </row>
    <row r="210" spans="1:8" s="76" customFormat="1" x14ac:dyDescent="0.25">
      <c r="A210" s="80"/>
      <c r="B210" s="347"/>
      <c r="C210" s="347"/>
      <c r="D210" s="81"/>
      <c r="E210" s="81"/>
      <c r="F210" s="81"/>
      <c r="G210" s="81"/>
      <c r="H210" s="81"/>
    </row>
    <row r="211" spans="1:8" s="76" customFormat="1" x14ac:dyDescent="0.25">
      <c r="A211" s="80"/>
      <c r="B211" s="347"/>
      <c r="C211" s="347"/>
      <c r="D211" s="81"/>
      <c r="E211" s="81"/>
      <c r="F211" s="81"/>
      <c r="G211" s="81"/>
      <c r="H211" s="81"/>
    </row>
    <row r="212" spans="1:8" s="76" customFormat="1" x14ac:dyDescent="0.25">
      <c r="A212" s="80"/>
      <c r="B212" s="347"/>
      <c r="C212" s="347"/>
      <c r="D212" s="81"/>
      <c r="E212" s="81"/>
      <c r="F212" s="81"/>
      <c r="G212" s="81"/>
      <c r="H212" s="81"/>
    </row>
    <row r="213" spans="1:8" s="76" customFormat="1" x14ac:dyDescent="0.25">
      <c r="A213" s="80"/>
      <c r="B213" s="347"/>
      <c r="C213" s="347"/>
      <c r="D213" s="81"/>
      <c r="E213" s="81"/>
      <c r="F213" s="81"/>
      <c r="G213" s="81"/>
      <c r="H213" s="81"/>
    </row>
    <row r="214" spans="1:8" s="76" customFormat="1" x14ac:dyDescent="0.25">
      <c r="A214" s="80"/>
      <c r="B214" s="347"/>
      <c r="C214" s="347"/>
      <c r="D214" s="81"/>
      <c r="E214" s="81"/>
      <c r="F214" s="81"/>
      <c r="G214" s="81"/>
      <c r="H214" s="81"/>
    </row>
    <row r="215" spans="1:8" s="76" customFormat="1" x14ac:dyDescent="0.25">
      <c r="A215" s="80"/>
      <c r="B215" s="347"/>
      <c r="C215" s="347"/>
      <c r="D215" s="81"/>
      <c r="E215" s="81"/>
      <c r="F215" s="81"/>
      <c r="G215" s="81"/>
      <c r="H215" s="81"/>
    </row>
    <row r="216" spans="1:8" s="76" customFormat="1" x14ac:dyDescent="0.25">
      <c r="A216" s="80"/>
      <c r="B216" s="347"/>
      <c r="C216" s="347"/>
      <c r="D216" s="81"/>
      <c r="E216" s="81"/>
      <c r="F216" s="81"/>
      <c r="G216" s="81"/>
      <c r="H216" s="81"/>
    </row>
    <row r="217" spans="1:8" s="76" customFormat="1" x14ac:dyDescent="0.25">
      <c r="A217" s="80"/>
      <c r="B217" s="347"/>
      <c r="C217" s="347"/>
      <c r="D217" s="81"/>
      <c r="E217" s="81"/>
      <c r="F217" s="81"/>
      <c r="G217" s="81"/>
      <c r="H217" s="81"/>
    </row>
    <row r="218" spans="1:8" s="76" customFormat="1" x14ac:dyDescent="0.25">
      <c r="A218" s="80"/>
      <c r="B218" s="347"/>
      <c r="C218" s="347"/>
      <c r="D218" s="81"/>
      <c r="E218" s="81"/>
      <c r="F218" s="81"/>
      <c r="G218" s="81"/>
      <c r="H218" s="81"/>
    </row>
    <row r="219" spans="1:8" s="76" customFormat="1" x14ac:dyDescent="0.25">
      <c r="A219" s="80"/>
      <c r="B219" s="347"/>
      <c r="C219" s="347"/>
      <c r="D219" s="81"/>
      <c r="E219" s="81"/>
      <c r="F219" s="81"/>
      <c r="G219" s="81"/>
      <c r="H219" s="81"/>
    </row>
    <row r="220" spans="1:8" s="76" customFormat="1" x14ac:dyDescent="0.25">
      <c r="A220" s="80"/>
      <c r="B220" s="347"/>
      <c r="C220" s="347"/>
      <c r="D220" s="81"/>
      <c r="E220" s="81"/>
      <c r="F220" s="81"/>
      <c r="G220" s="81"/>
      <c r="H220" s="81"/>
    </row>
    <row r="221" spans="1:8" s="76" customFormat="1" x14ac:dyDescent="0.25">
      <c r="A221" s="80"/>
      <c r="B221" s="347"/>
      <c r="C221" s="347"/>
      <c r="D221" s="81"/>
      <c r="E221" s="81"/>
      <c r="F221" s="81"/>
      <c r="G221" s="81"/>
      <c r="H221" s="81"/>
    </row>
    <row r="222" spans="1:8" s="76" customFormat="1" x14ac:dyDescent="0.25">
      <c r="A222" s="80"/>
      <c r="B222" s="347"/>
      <c r="C222" s="347"/>
      <c r="D222" s="81"/>
      <c r="E222" s="81"/>
      <c r="F222" s="81"/>
      <c r="G222" s="81"/>
      <c r="H222" s="81"/>
    </row>
    <row r="223" spans="1:8" s="76" customFormat="1" x14ac:dyDescent="0.25">
      <c r="A223" s="80"/>
      <c r="B223" s="347"/>
      <c r="C223" s="347"/>
      <c r="D223" s="81"/>
      <c r="E223" s="81"/>
      <c r="F223" s="81"/>
      <c r="G223" s="81"/>
      <c r="H223" s="81"/>
    </row>
    <row r="224" spans="1:8" s="76" customFormat="1" x14ac:dyDescent="0.25">
      <c r="A224" s="80"/>
      <c r="B224" s="347"/>
      <c r="C224" s="347"/>
      <c r="D224" s="81"/>
      <c r="E224" s="81"/>
      <c r="F224" s="81"/>
      <c r="G224" s="81"/>
      <c r="H224" s="81"/>
    </row>
    <row r="225" spans="1:8" s="76" customFormat="1" x14ac:dyDescent="0.25">
      <c r="A225" s="80"/>
      <c r="B225" s="347"/>
      <c r="C225" s="347"/>
      <c r="D225" s="81"/>
      <c r="E225" s="81"/>
      <c r="F225" s="81"/>
      <c r="G225" s="81"/>
      <c r="H225" s="81"/>
    </row>
    <row r="226" spans="1:8" s="76" customFormat="1" x14ac:dyDescent="0.25">
      <c r="A226" s="80"/>
      <c r="B226" s="347"/>
      <c r="C226" s="347"/>
      <c r="D226" s="81"/>
      <c r="E226" s="81"/>
      <c r="F226" s="81"/>
      <c r="G226" s="81"/>
      <c r="H226" s="81"/>
    </row>
    <row r="227" spans="1:8" s="76" customFormat="1" x14ac:dyDescent="0.25">
      <c r="A227" s="80"/>
      <c r="B227" s="347"/>
      <c r="C227" s="347"/>
      <c r="D227" s="81"/>
      <c r="E227" s="81"/>
      <c r="F227" s="81"/>
      <c r="G227" s="81"/>
      <c r="H227" s="81"/>
    </row>
    <row r="228" spans="1:8" s="76" customFormat="1" x14ac:dyDescent="0.25">
      <c r="A228" s="80"/>
      <c r="B228" s="347"/>
      <c r="C228" s="347"/>
      <c r="D228" s="81"/>
      <c r="E228" s="81"/>
      <c r="F228" s="81"/>
      <c r="G228" s="81"/>
      <c r="H228" s="81"/>
    </row>
    <row r="229" spans="1:8" s="76" customFormat="1" x14ac:dyDescent="0.25">
      <c r="A229" s="80"/>
      <c r="B229" s="348"/>
      <c r="C229" s="348"/>
      <c r="D229" s="4"/>
      <c r="E229" s="4"/>
      <c r="F229" s="4"/>
      <c r="G229" s="4"/>
      <c r="H229" s="4"/>
    </row>
    <row r="230" spans="1:8" s="76" customFormat="1" x14ac:dyDescent="0.25">
      <c r="A230" s="80"/>
      <c r="B230" s="348"/>
      <c r="C230" s="348"/>
      <c r="D230" s="4"/>
      <c r="E230" s="4"/>
      <c r="F230" s="4"/>
      <c r="G230" s="4"/>
      <c r="H230" s="4"/>
    </row>
    <row r="231" spans="1:8" s="76" customFormat="1" x14ac:dyDescent="0.25">
      <c r="A231" s="80"/>
      <c r="B231" s="348"/>
      <c r="C231" s="348"/>
      <c r="D231" s="4"/>
      <c r="E231" s="4"/>
      <c r="F231" s="4"/>
      <c r="G231" s="4"/>
      <c r="H231" s="4"/>
    </row>
    <row r="232" spans="1:8" s="76" customFormat="1" x14ac:dyDescent="0.25">
      <c r="A232" s="80"/>
      <c r="B232" s="348"/>
      <c r="C232" s="348"/>
      <c r="D232" s="4"/>
      <c r="E232" s="4"/>
      <c r="F232" s="4"/>
      <c r="G232" s="4"/>
      <c r="H232" s="4"/>
    </row>
    <row r="233" spans="1:8" s="76" customFormat="1" x14ac:dyDescent="0.25">
      <c r="A233" s="80"/>
      <c r="B233" s="348"/>
      <c r="C233" s="348"/>
      <c r="D233" s="4"/>
      <c r="E233" s="4"/>
      <c r="F233" s="4"/>
      <c r="G233" s="4"/>
      <c r="H233" s="4"/>
    </row>
  </sheetData>
  <sheetProtection formatCells="0" formatColumns="0" formatRows="0"/>
  <autoFilter ref="A3:H3"/>
  <mergeCells count="5">
    <mergeCell ref="B1:G1"/>
    <mergeCell ref="A2:A3"/>
    <mergeCell ref="B2:B3"/>
    <mergeCell ref="D2:D3"/>
    <mergeCell ref="E2:G2"/>
  </mergeCells>
  <conditionalFormatting sqref="D30 F30:H36 D28:H29 D31:E36 D37:H66">
    <cfRule type="cellIs" dxfId="0" priority="2" operator="lessThan">
      <formula>0</formula>
    </cfRule>
  </conditionalFormatting>
  <pageMargins left="0" right="7.874015748031496E-2" top="0.19685039370078741" bottom="0" header="0.39370078740157483" footer="0"/>
  <pageSetup paperSize="9" scale="40" orientation="landscape" r:id="rId1"/>
  <headerFooter alignWithMargins="0">
    <oddFooter>&amp;RСтор.  &amp;P</oddFooter>
  </headerFooter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"/>
  <sheetViews>
    <sheetView workbookViewId="0">
      <selection activeCell="B23" sqref="B23"/>
    </sheetView>
  </sheetViews>
  <sheetFormatPr defaultRowHeight="15" x14ac:dyDescent="0.25"/>
  <cols>
    <col min="45" max="45" width="10.42578125" customWidth="1"/>
  </cols>
  <sheetData>
    <row r="1" spans="1:62" s="939" customFormat="1" x14ac:dyDescent="0.25">
      <c r="C1" s="1552"/>
      <c r="D1" s="1552"/>
      <c r="E1" s="1552"/>
      <c r="F1" s="1552"/>
      <c r="G1" s="1552"/>
      <c r="H1" s="1552"/>
      <c r="J1" s="1552"/>
      <c r="K1" s="1552"/>
      <c r="L1" s="1552"/>
      <c r="M1" s="1552"/>
      <c r="N1" s="1552"/>
      <c r="O1" s="1552"/>
      <c r="P1" s="1552"/>
      <c r="Q1" s="1552" t="s">
        <v>599</v>
      </c>
      <c r="R1" s="1552" t="s">
        <v>599</v>
      </c>
      <c r="S1" s="1552" t="s">
        <v>599</v>
      </c>
      <c r="T1" s="1552" t="s">
        <v>599</v>
      </c>
      <c r="U1" s="1552"/>
      <c r="V1" s="1552"/>
      <c r="W1" s="1552"/>
      <c r="X1" s="1552"/>
      <c r="Z1" s="1552"/>
      <c r="AA1" s="1552"/>
      <c r="AB1" s="1552"/>
      <c r="AC1" s="1552"/>
      <c r="AD1" s="1552"/>
      <c r="AF1" s="1552"/>
      <c r="AG1" s="1552"/>
      <c r="AH1" s="1552"/>
      <c r="AI1" s="1552"/>
      <c r="AJ1" s="1552"/>
      <c r="AL1" s="1552"/>
      <c r="AM1" s="1552"/>
      <c r="AN1" s="1552"/>
      <c r="AO1" s="1552"/>
      <c r="AP1" s="1552"/>
      <c r="AQ1" s="1552"/>
      <c r="AR1" s="1552"/>
      <c r="AS1" s="1552"/>
      <c r="AT1" s="1552"/>
      <c r="AU1" s="1552"/>
      <c r="AV1" s="1552"/>
      <c r="AW1" s="1552"/>
      <c r="AX1" s="1552"/>
      <c r="AY1" s="1552"/>
      <c r="AZ1" s="1552"/>
      <c r="BA1" s="1552"/>
      <c r="BC1" s="1552"/>
      <c r="BD1" s="1552"/>
      <c r="BE1" s="1552"/>
      <c r="BF1" s="1552"/>
      <c r="BG1" s="1552"/>
      <c r="BH1" s="1552"/>
      <c r="BI1" s="1552"/>
      <c r="BJ1" s="1552"/>
    </row>
    <row r="2" spans="1:62" s="939" customFormat="1" x14ac:dyDescent="0.25">
      <c r="C2" s="1553"/>
      <c r="D2" s="1553"/>
      <c r="E2" s="1553"/>
      <c r="F2" s="1553"/>
      <c r="G2" s="1553"/>
      <c r="H2" s="1553"/>
      <c r="J2" s="1553"/>
      <c r="K2" s="1553"/>
      <c r="L2" s="1553"/>
      <c r="M2" s="1553"/>
      <c r="N2" s="1553"/>
      <c r="O2" s="1553"/>
      <c r="P2" s="1553"/>
      <c r="Q2" s="1553" t="s">
        <v>599</v>
      </c>
      <c r="R2" s="1553" t="s">
        <v>599</v>
      </c>
      <c r="S2" s="1553" t="s">
        <v>599</v>
      </c>
      <c r="T2" s="1553" t="s">
        <v>599</v>
      </c>
      <c r="U2" s="1553"/>
      <c r="V2" s="1553"/>
      <c r="W2" s="1553"/>
      <c r="X2" s="1553"/>
      <c r="Z2" s="1553"/>
      <c r="AA2" s="1553"/>
      <c r="AB2" s="1553"/>
      <c r="AC2" s="1553" t="s">
        <v>599</v>
      </c>
      <c r="AD2" s="1553"/>
      <c r="AF2" s="1553"/>
      <c r="AG2" s="1553"/>
      <c r="AH2" s="1553"/>
      <c r="AJ2" s="1553"/>
      <c r="AL2" s="1553"/>
      <c r="AN2" s="1553"/>
      <c r="AP2" s="1553"/>
      <c r="AQ2" s="1553"/>
      <c r="AR2" s="1553"/>
      <c r="AS2" s="1553" t="s">
        <v>1972</v>
      </c>
      <c r="AT2" s="1553"/>
      <c r="AU2" s="1553"/>
      <c r="AV2" s="1553"/>
      <c r="AW2" s="1553"/>
      <c r="AX2" s="1553"/>
      <c r="AY2" s="1553"/>
      <c r="AZ2" s="1553"/>
      <c r="BA2" s="1553"/>
      <c r="BC2" s="1553"/>
      <c r="BD2" s="1553"/>
      <c r="BE2" s="1553"/>
      <c r="BF2" s="1553"/>
      <c r="BG2" s="1553"/>
      <c r="BH2" s="1553"/>
      <c r="BI2" s="1553"/>
      <c r="BJ2" s="1553"/>
    </row>
    <row r="3" spans="1:62" s="939" customFormat="1" x14ac:dyDescent="0.25">
      <c r="E3" s="1554"/>
      <c r="Z3" s="1554"/>
      <c r="AA3" s="1554"/>
      <c r="AB3" s="1554"/>
      <c r="AC3" s="1554" t="s">
        <v>599</v>
      </c>
      <c r="AD3" s="1554"/>
      <c r="AF3" s="1554"/>
      <c r="AG3" s="1554"/>
      <c r="AH3" s="1554"/>
      <c r="AY3" s="1554"/>
      <c r="AZ3" s="1554"/>
      <c r="BC3" s="1554"/>
      <c r="BD3" s="1554"/>
      <c r="BE3" s="1554"/>
      <c r="BF3" s="1554"/>
      <c r="BG3" s="1554"/>
      <c r="BH3" s="1554"/>
      <c r="BI3" s="1554"/>
      <c r="BJ3" s="1554"/>
    </row>
    <row r="4" spans="1:62" x14ac:dyDescent="0.25">
      <c r="C4">
        <v>1</v>
      </c>
      <c r="D4">
        <v>2</v>
      </c>
      <c r="E4">
        <v>3</v>
      </c>
      <c r="F4">
        <v>4</v>
      </c>
      <c r="G4">
        <v>5</v>
      </c>
      <c r="H4">
        <v>7</v>
      </c>
      <c r="J4">
        <v>25</v>
      </c>
      <c r="K4">
        <v>29</v>
      </c>
      <c r="L4">
        <v>26</v>
      </c>
      <c r="M4">
        <v>27</v>
      </c>
      <c r="N4">
        <v>30</v>
      </c>
      <c r="O4">
        <v>31</v>
      </c>
      <c r="P4">
        <v>32</v>
      </c>
      <c r="Q4">
        <v>18</v>
      </c>
      <c r="R4">
        <v>19</v>
      </c>
      <c r="S4">
        <v>20</v>
      </c>
      <c r="T4">
        <v>21</v>
      </c>
      <c r="U4">
        <v>6</v>
      </c>
      <c r="V4">
        <v>8</v>
      </c>
      <c r="W4">
        <v>9</v>
      </c>
      <c r="X4">
        <v>10</v>
      </c>
      <c r="Z4">
        <v>11</v>
      </c>
      <c r="AA4">
        <v>12</v>
      </c>
      <c r="AB4">
        <v>13</v>
      </c>
      <c r="AC4">
        <v>14</v>
      </c>
      <c r="AD4">
        <v>15</v>
      </c>
      <c r="AF4">
        <v>16</v>
      </c>
      <c r="AG4">
        <v>17</v>
      </c>
      <c r="AH4">
        <v>22</v>
      </c>
      <c r="AI4">
        <v>23</v>
      </c>
      <c r="AJ4">
        <v>24</v>
      </c>
      <c r="AL4">
        <v>28</v>
      </c>
      <c r="AM4">
        <v>33</v>
      </c>
      <c r="AN4">
        <v>34</v>
      </c>
      <c r="AO4">
        <v>35</v>
      </c>
      <c r="AP4">
        <v>36</v>
      </c>
      <c r="AQ4">
        <v>37</v>
      </c>
      <c r="AR4">
        <v>38</v>
      </c>
      <c r="AS4">
        <v>39</v>
      </c>
      <c r="AT4">
        <v>40</v>
      </c>
      <c r="AU4">
        <v>41</v>
      </c>
      <c r="AV4">
        <v>42</v>
      </c>
      <c r="AW4">
        <v>43</v>
      </c>
      <c r="AX4">
        <v>44</v>
      </c>
      <c r="AY4">
        <v>45</v>
      </c>
      <c r="AZ4">
        <v>46</v>
      </c>
      <c r="BA4">
        <v>47</v>
      </c>
      <c r="BC4">
        <v>48</v>
      </c>
      <c r="BD4">
        <v>49</v>
      </c>
      <c r="BE4">
        <v>50</v>
      </c>
      <c r="BF4">
        <v>51</v>
      </c>
      <c r="BG4">
        <v>52</v>
      </c>
      <c r="BH4">
        <v>53</v>
      </c>
      <c r="BI4">
        <v>54</v>
      </c>
      <c r="BJ4">
        <v>55</v>
      </c>
    </row>
    <row r="5" spans="1:62" x14ac:dyDescent="0.25">
      <c r="B5" t="s">
        <v>537</v>
      </c>
      <c r="C5" t="s">
        <v>954</v>
      </c>
      <c r="D5" t="s">
        <v>340</v>
      </c>
      <c r="E5" t="s">
        <v>354</v>
      </c>
      <c r="F5" t="s">
        <v>969</v>
      </c>
      <c r="G5" t="s">
        <v>970</v>
      </c>
      <c r="H5" t="s">
        <v>1126</v>
      </c>
      <c r="I5" s="1555" t="s">
        <v>610</v>
      </c>
      <c r="J5" t="s">
        <v>435</v>
      </c>
      <c r="K5" t="s">
        <v>977</v>
      </c>
      <c r="L5" t="s">
        <v>978</v>
      </c>
      <c r="M5" t="s">
        <v>979</v>
      </c>
      <c r="N5" t="s">
        <v>980</v>
      </c>
      <c r="O5" t="s">
        <v>1212</v>
      </c>
      <c r="P5" t="s">
        <v>1967</v>
      </c>
      <c r="Q5" t="s">
        <v>1968</v>
      </c>
      <c r="R5" t="s">
        <v>1969</v>
      </c>
      <c r="S5" t="s">
        <v>1970</v>
      </c>
      <c r="T5" t="s">
        <v>1971</v>
      </c>
      <c r="U5" t="s">
        <v>971</v>
      </c>
      <c r="V5" t="s">
        <v>679</v>
      </c>
      <c r="W5" t="s">
        <v>972</v>
      </c>
      <c r="X5" t="s">
        <v>335</v>
      </c>
      <c r="Y5" s="1555" t="s">
        <v>611</v>
      </c>
      <c r="Z5" t="s">
        <v>1794</v>
      </c>
      <c r="AA5" t="s">
        <v>1795</v>
      </c>
      <c r="AB5" t="s">
        <v>1232</v>
      </c>
      <c r="AC5" t="s">
        <v>1392</v>
      </c>
      <c r="AD5" t="s">
        <v>1253</v>
      </c>
      <c r="AE5" s="1555" t="s">
        <v>612</v>
      </c>
      <c r="AF5" t="s">
        <v>1813</v>
      </c>
      <c r="AG5" t="s">
        <v>1814</v>
      </c>
      <c r="AH5" t="s">
        <v>975</v>
      </c>
      <c r="AI5" t="s">
        <v>339</v>
      </c>
      <c r="AJ5" t="s">
        <v>1184</v>
      </c>
      <c r="AK5" s="1555" t="s">
        <v>981</v>
      </c>
      <c r="AL5" t="s">
        <v>1879</v>
      </c>
      <c r="AM5" t="s">
        <v>982</v>
      </c>
      <c r="AN5" t="s">
        <v>983</v>
      </c>
      <c r="AO5" t="s">
        <v>507</v>
      </c>
      <c r="AP5" t="s">
        <v>1297</v>
      </c>
      <c r="AQ5" t="s">
        <v>1928</v>
      </c>
      <c r="AR5" t="s">
        <v>1818</v>
      </c>
      <c r="AS5" t="s">
        <v>1825</v>
      </c>
      <c r="AT5" t="s">
        <v>984</v>
      </c>
      <c r="AU5" t="s">
        <v>985</v>
      </c>
      <c r="AV5" t="s">
        <v>986</v>
      </c>
      <c r="AW5" t="s">
        <v>987</v>
      </c>
      <c r="AX5" t="s">
        <v>988</v>
      </c>
      <c r="AY5" t="s">
        <v>585</v>
      </c>
      <c r="AZ5" t="s">
        <v>588</v>
      </c>
      <c r="BA5" t="s">
        <v>1211</v>
      </c>
      <c r="BB5" s="1555" t="s">
        <v>1965</v>
      </c>
      <c r="BC5" t="s">
        <v>1791</v>
      </c>
      <c r="BD5" t="s">
        <v>1779</v>
      </c>
      <c r="BE5" t="s">
        <v>1780</v>
      </c>
      <c r="BF5" t="s">
        <v>346</v>
      </c>
      <c r="BG5" t="s">
        <v>352</v>
      </c>
      <c r="BH5" t="s">
        <v>353</v>
      </c>
      <c r="BI5" t="s">
        <v>1784</v>
      </c>
      <c r="BJ5" t="s">
        <v>1792</v>
      </c>
    </row>
    <row r="6" spans="1:62" x14ac:dyDescent="0.25">
      <c r="C6" s="1551" t="str">
        <f>Валідація!G5</f>
        <v>ПРАВДА</v>
      </c>
      <c r="D6" s="1551" t="str">
        <f>Валідація!G6</f>
        <v>ПРАВДА</v>
      </c>
      <c r="E6" s="1551" t="str">
        <f>Валідація!G8</f>
        <v>ПРАВДА</v>
      </c>
      <c r="F6" s="1551" t="str">
        <f>Валідація!G9</f>
        <v>ПРАВДА</v>
      </c>
      <c r="G6" s="1551" t="str">
        <f>Валідація!G11</f>
        <v>ПРАВДА</v>
      </c>
      <c r="H6" s="1551" t="str">
        <f>Валідація!G16</f>
        <v>ПРАВДА</v>
      </c>
      <c r="J6" s="1551" t="str">
        <f>Валідація!G58</f>
        <v>ПРАВДА</v>
      </c>
      <c r="K6" s="1551" t="str">
        <f>Валідація!G68</f>
        <v>ПРАВДА</v>
      </c>
      <c r="L6" s="1551" t="str">
        <f>Валідація!G59</f>
        <v>ПРАВДА</v>
      </c>
      <c r="M6" s="1551" t="str">
        <f>Валідація!G61</f>
        <v>ПРАВДА</v>
      </c>
      <c r="N6" s="1551" t="str">
        <f>Валідація!G71</f>
        <v>ПРАВДА</v>
      </c>
      <c r="O6" s="1551" t="str">
        <f>Валідація!G73</f>
        <v>ПРАВДА</v>
      </c>
      <c r="P6" s="1551" t="str">
        <f>Валідація!G76</f>
        <v>ПРАВДА</v>
      </c>
      <c r="Q6" s="1551" t="str">
        <f>Валідація!G42</f>
        <v>ПРАВДА</v>
      </c>
      <c r="R6" s="1551" t="str">
        <f>Валідація!G44</f>
        <v>ПРАВДА</v>
      </c>
      <c r="S6" s="1551" t="str">
        <f>Валідація!G46</f>
        <v>ПРАВДА</v>
      </c>
      <c r="T6" s="1551" t="str">
        <f>Валідація!G48</f>
        <v>ПРАВДА</v>
      </c>
      <c r="U6" s="1551" t="str">
        <f>Валідація!G14</f>
        <v>ПРАВДА</v>
      </c>
      <c r="V6" s="1551" t="str">
        <f>Валідація!G17</f>
        <v>ПРАВДА</v>
      </c>
      <c r="W6" s="1551" t="str">
        <f>Валідація!G19</f>
        <v>ПРАВДА</v>
      </c>
      <c r="X6" s="1551" t="str">
        <f>Валідація!G21</f>
        <v>ПРАВДА</v>
      </c>
      <c r="Z6" t="str">
        <f>Валідація!G25</f>
        <v>ПРАВДА</v>
      </c>
      <c r="AA6" s="1551" t="str">
        <f>Валідація!G26</f>
        <v>ПРАВДА</v>
      </c>
      <c r="AB6" s="1551" t="str">
        <f>Валідація!G28</f>
        <v>ПРАВДА</v>
      </c>
      <c r="AC6" s="1551" t="str">
        <f>Валідація!G31</f>
        <v>ПРАВДА</v>
      </c>
      <c r="AD6" s="1551" t="str">
        <f>Валідація!G33</f>
        <v>ПРАВДА</v>
      </c>
      <c r="AF6" s="1551" t="str">
        <f>Валідація!G37</f>
        <v>ПРАВДА</v>
      </c>
      <c r="AG6" s="1551" t="str">
        <f>Валідація!G40</f>
        <v>ПРАВДА</v>
      </c>
      <c r="AH6" s="1551" t="str">
        <f>Валідація!G50</f>
        <v>ПРАВДА</v>
      </c>
      <c r="AI6" s="1551" t="str">
        <f>Валідація!G53</f>
        <v>ПРАВДА</v>
      </c>
      <c r="AJ6" s="1551" t="str">
        <f>Валідація!G55</f>
        <v>ПРАВДА</v>
      </c>
      <c r="AL6" s="1551" t="str">
        <f>Валідація!G64</f>
        <v>ПРАВДА</v>
      </c>
      <c r="AM6" s="1551" t="str">
        <f>Валідація!G80</f>
        <v>ПРАВДА</v>
      </c>
      <c r="AN6" s="1551" t="str">
        <f>Валідація!G83</f>
        <v>ПРАВДА</v>
      </c>
      <c r="AO6" s="1551" t="str">
        <f>Валідація!G85</f>
        <v>ПРАВДА</v>
      </c>
      <c r="AP6" s="1551" t="str">
        <f>Валідація!G88</f>
        <v>ПРАВДА</v>
      </c>
      <c r="AQ6" s="1551" t="str">
        <f>Валідація!G91</f>
        <v>ПРАВДА</v>
      </c>
      <c r="AR6" s="1551" t="str">
        <f>Валідація!G94</f>
        <v>ПРАВДА</v>
      </c>
      <c r="AS6" s="1551" t="str">
        <f>Валідація!G96</f>
        <v>ПРАВДА</v>
      </c>
      <c r="AT6" s="1551" t="str">
        <f>Валідація!G98</f>
        <v>ПРАВДА</v>
      </c>
      <c r="AU6" s="1551" t="str">
        <f>Валідація!G100</f>
        <v>ПРАВДА</v>
      </c>
      <c r="AV6" s="1551" t="str">
        <f>Валідація!G102</f>
        <v>ПРАВДА</v>
      </c>
      <c r="AW6" s="1551" t="str">
        <f>Валідація!G104</f>
        <v>ПРАВДА</v>
      </c>
      <c r="AX6" s="1551" t="str">
        <f>Валідація!G106</f>
        <v>ПРАВДА</v>
      </c>
      <c r="AY6" s="1551" t="str">
        <f>Валідація!G108</f>
        <v>ПРАВДА</v>
      </c>
      <c r="AZ6" s="1551" t="str">
        <f>Валідація!G110</f>
        <v>ПРАВДА</v>
      </c>
      <c r="BA6" s="1551" t="str">
        <f>Валідація!G112</f>
        <v>ПРАВДА</v>
      </c>
      <c r="BC6" s="1551" t="str">
        <f>Валідація!G116</f>
        <v>ПРАВДА</v>
      </c>
      <c r="BD6" s="1551" t="str">
        <f>Валідація!G118</f>
        <v>ПРАВДА</v>
      </c>
      <c r="BE6" s="1551" t="str">
        <f>Валідація!G120</f>
        <v>ПРАВДА</v>
      </c>
      <c r="BF6" s="1551" t="str">
        <f>Валідація!G122</f>
        <v>ПРАВДА</v>
      </c>
      <c r="BG6" s="1551" t="str">
        <f>Валідація!G124</f>
        <v>ПРАВДА</v>
      </c>
      <c r="BH6" s="1551" t="str">
        <f>Валідація!G126</f>
        <v>ПРАВДА</v>
      </c>
      <c r="BI6" s="1551" t="str">
        <f>Валідація!G128</f>
        <v>ПРАВДА</v>
      </c>
      <c r="BJ6" s="1551" t="str">
        <f>Валідація!G130</f>
        <v>ПРАВДА</v>
      </c>
    </row>
    <row r="7" spans="1:62" x14ac:dyDescent="0.25">
      <c r="B7" t="str">
        <f>IF(A9="Зелена","Зелена",IF(B9="Синя","Синя",IF(C9="Жовта","Жовта","Червона")))</f>
        <v>Зелена</v>
      </c>
      <c r="C7">
        <f>IF(C6="ПРАВДА",1,0)</f>
        <v>1</v>
      </c>
      <c r="D7" s="939">
        <f>IF(D6="ПРАВДА",1,0)</f>
        <v>1</v>
      </c>
      <c r="E7" s="939">
        <f t="shared" ref="E7:J7" si="0">IF(E6="ПРАВДА",1,0)</f>
        <v>1</v>
      </c>
      <c r="F7" s="939">
        <f t="shared" si="0"/>
        <v>1</v>
      </c>
      <c r="G7" s="939">
        <f t="shared" si="0"/>
        <v>1</v>
      </c>
      <c r="H7" s="939">
        <f t="shared" si="0"/>
        <v>1</v>
      </c>
      <c r="I7">
        <f>IF(SUM(J7:P7)=7,1,0)</f>
        <v>1</v>
      </c>
      <c r="J7">
        <f t="shared" si="0"/>
        <v>1</v>
      </c>
      <c r="K7" s="939">
        <f t="shared" ref="K7:P7" si="1">IF(K6="ПРАВДА",1,0)</f>
        <v>1</v>
      </c>
      <c r="L7" s="939">
        <f t="shared" si="1"/>
        <v>1</v>
      </c>
      <c r="M7" s="939">
        <f t="shared" si="1"/>
        <v>1</v>
      </c>
      <c r="N7" s="939">
        <f t="shared" si="1"/>
        <v>1</v>
      </c>
      <c r="O7" s="939">
        <f t="shared" si="1"/>
        <v>1</v>
      </c>
      <c r="P7" s="939">
        <f t="shared" si="1"/>
        <v>1</v>
      </c>
      <c r="Q7" s="939">
        <f>IF(OR(Q6="ПРАВДА",Q6="Увага"),1,0)</f>
        <v>1</v>
      </c>
      <c r="R7" s="939">
        <f>IF(OR(R6="ПРАВДА",R6="Увага"),1,0)</f>
        <v>1</v>
      </c>
      <c r="S7" s="939">
        <f>IF(OR(S6="ПРАВДА",S6="Увага"),1,0)</f>
        <v>1</v>
      </c>
      <c r="T7" s="939">
        <f>IF(OR(T6="ПРАВДА",T6="Увага"),1,0)</f>
        <v>1</v>
      </c>
      <c r="U7" s="939">
        <f>IF(U6="ПРАВДА",1,0)</f>
        <v>1</v>
      </c>
      <c r="V7" s="939">
        <f>IF(V6="ПРАВДА",1,0)</f>
        <v>1</v>
      </c>
      <c r="W7" s="939">
        <f>IF(W6="ПРАВДА",1,0)</f>
        <v>1</v>
      </c>
      <c r="X7" s="939">
        <f>IF(X6="ПРАВДА",1,0)</f>
        <v>1</v>
      </c>
      <c r="Y7">
        <f>IF(SUM(Z7:AD7)=5,1,IF(SUM(Z7:AD7)=4.5,0.5,0))</f>
        <v>1</v>
      </c>
      <c r="Z7">
        <f>IF(Z6="ПРАВДА",1,0)</f>
        <v>1</v>
      </c>
      <c r="AA7" s="939">
        <f>IF(AA6="ПРАВДА",1,0)</f>
        <v>1</v>
      </c>
      <c r="AB7" s="939">
        <f>IF(AB6="ПРАВДА",1,0)</f>
        <v>1</v>
      </c>
      <c r="AC7" s="939">
        <f>IF(AC6="ПРАВДА",1,IF(AC6="Увага",0.5,0))</f>
        <v>1</v>
      </c>
      <c r="AD7" s="939">
        <f>IF(AD6="ПРАВДА",1,0)</f>
        <v>1</v>
      </c>
      <c r="AE7">
        <f>IF(SUM(AF7:AJ7)=5,1,IF(SUM(AF7:AH7,AJ7)=4,0.5,IF(SUM(AF7:AH7)=3,0.25,0)))</f>
        <v>1</v>
      </c>
      <c r="AF7">
        <f>IF(AF6="ПРАВДА",1,0)</f>
        <v>1</v>
      </c>
      <c r="AG7" s="939">
        <f>IF(AG6="ПРАВДА",1,0)</f>
        <v>1</v>
      </c>
      <c r="AH7" s="939">
        <f>IF(AH6="ПРАВДА",1,0)</f>
        <v>1</v>
      </c>
      <c r="AI7" s="939">
        <f>IF(AI6="ПРАВДА",1,0)</f>
        <v>1</v>
      </c>
      <c r="AJ7" s="939">
        <f>IF(AJ6="ПРАВДА",1,0)</f>
        <v>1</v>
      </c>
      <c r="AK7">
        <f>IF(SUM(AL7:BA7)=16,1,IF(SUM(AL7,AN7,AP7:BA7)&gt;=13.5,0.5,IF(SUM(AY7:AZ7)=2,0.25,0)))</f>
        <v>1</v>
      </c>
      <c r="AL7">
        <f t="shared" ref="AL7:AR7" si="2">IF(AL6="ПРАВДА",1,0)</f>
        <v>1</v>
      </c>
      <c r="AM7" s="939">
        <f t="shared" si="2"/>
        <v>1</v>
      </c>
      <c r="AN7" s="939">
        <f t="shared" si="2"/>
        <v>1</v>
      </c>
      <c r="AO7" s="939">
        <f t="shared" si="2"/>
        <v>1</v>
      </c>
      <c r="AP7" s="939">
        <f t="shared" si="2"/>
        <v>1</v>
      </c>
      <c r="AQ7" s="939">
        <f t="shared" si="2"/>
        <v>1</v>
      </c>
      <c r="AR7" s="939">
        <f t="shared" si="2"/>
        <v>1</v>
      </c>
      <c r="AS7" s="939">
        <f>IF(AS6="ПРАВДА",1,IF(AS6="Увага",0.5,0))</f>
        <v>1</v>
      </c>
      <c r="AT7">
        <f t="shared" ref="AT7:BA7" si="3">IF(AT6="ПРАВДА",1,0)</f>
        <v>1</v>
      </c>
      <c r="AU7" s="939">
        <f t="shared" si="3"/>
        <v>1</v>
      </c>
      <c r="AV7" s="939">
        <f t="shared" si="3"/>
        <v>1</v>
      </c>
      <c r="AW7" s="939">
        <f t="shared" si="3"/>
        <v>1</v>
      </c>
      <c r="AX7" s="939">
        <f t="shared" si="3"/>
        <v>1</v>
      </c>
      <c r="AY7" s="939">
        <f t="shared" si="3"/>
        <v>1</v>
      </c>
      <c r="AZ7" s="939">
        <f t="shared" si="3"/>
        <v>1</v>
      </c>
      <c r="BA7" s="939">
        <f t="shared" si="3"/>
        <v>1</v>
      </c>
      <c r="BB7" s="939">
        <f>IF(SUM(BC7:BJ7)=8,1,0)</f>
        <v>1</v>
      </c>
      <c r="BC7" s="939">
        <f t="shared" ref="BC7:BJ7" si="4">IF(BC6="ПРАВДА",1,0)</f>
        <v>1</v>
      </c>
      <c r="BD7" s="939">
        <f t="shared" si="4"/>
        <v>1</v>
      </c>
      <c r="BE7" s="939">
        <f t="shared" si="4"/>
        <v>1</v>
      </c>
      <c r="BF7" s="939">
        <f t="shared" si="4"/>
        <v>1</v>
      </c>
      <c r="BG7" s="939">
        <f t="shared" si="4"/>
        <v>1</v>
      </c>
      <c r="BH7" s="939">
        <f t="shared" si="4"/>
        <v>1</v>
      </c>
      <c r="BI7" s="939">
        <f t="shared" si="4"/>
        <v>1</v>
      </c>
      <c r="BJ7" s="939">
        <f t="shared" si="4"/>
        <v>1</v>
      </c>
    </row>
    <row r="9" spans="1:62" x14ac:dyDescent="0.25">
      <c r="A9" t="str">
        <f>IF(SUM(C7:H7,I7,Q7:X7,Y7,AE7,AK7,BB7)=19,"Зелена")</f>
        <v>Зелена</v>
      </c>
      <c r="B9" t="str">
        <f>IF(AND(SUM(C7:I7,Q7:X7,BB7)=16,Y7&gt;=0.5,AE7&gt;=0.5,AK7&gt;=0.5),"Синя")</f>
        <v>Синя</v>
      </c>
      <c r="C9" t="str">
        <f>IF(AND(SUM(E7,BB7)=2,Y7&gt;=0.5,AE7&gt;=0.25,AK7&gt;=0.25),"Жовта")</f>
        <v>Жовта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9"/>
  <dimension ref="A1:BE144"/>
  <sheetViews>
    <sheetView showGridLines="0" topLeftCell="E31" zoomScale="50" zoomScaleNormal="50" zoomScalePageLayoutView="40" workbookViewId="0">
      <selection activeCell="K2" sqref="K2"/>
    </sheetView>
  </sheetViews>
  <sheetFormatPr defaultRowHeight="18.75" x14ac:dyDescent="0.3"/>
  <cols>
    <col min="1" max="1" width="0" hidden="1" customWidth="1"/>
    <col min="2" max="2" width="13.42578125" style="939" customWidth="1"/>
    <col min="3" max="3" width="15" customWidth="1"/>
    <col min="4" max="4" width="115.42578125" customWidth="1"/>
    <col min="5" max="6" width="27.7109375" style="458" customWidth="1"/>
    <col min="7" max="7" width="27.7109375" customWidth="1"/>
    <col min="8" max="8" width="46.28515625" customWidth="1"/>
    <col min="9" max="9" width="47.5703125" customWidth="1"/>
    <col min="10" max="10" width="43.7109375" customWidth="1"/>
    <col min="11" max="11" width="42" customWidth="1"/>
    <col min="12" max="12" width="38.7109375" customWidth="1"/>
    <col min="13" max="13" width="38.28515625" customWidth="1"/>
    <col min="14" max="14" width="41.7109375" customWidth="1"/>
    <col min="15" max="15" width="36" customWidth="1"/>
    <col min="16" max="16" width="36.5703125" customWidth="1"/>
    <col min="17" max="17" width="30.28515625" customWidth="1"/>
    <col min="18" max="18" width="35.42578125" customWidth="1"/>
    <col min="19" max="19" width="32.7109375" customWidth="1"/>
    <col min="20" max="20" width="34.7109375" customWidth="1"/>
    <col min="21" max="21" width="36" customWidth="1"/>
    <col min="22" max="22" width="30.7109375" customWidth="1"/>
    <col min="23" max="23" width="29.42578125" customWidth="1"/>
    <col min="24" max="24" width="47.7109375" customWidth="1"/>
    <col min="25" max="25" width="42.5703125" customWidth="1"/>
    <col min="26" max="26" width="22.42578125" customWidth="1"/>
    <col min="27" max="27" width="22" customWidth="1"/>
    <col min="28" max="28" width="43.28515625" customWidth="1"/>
    <col min="29" max="29" width="30.28515625" customWidth="1"/>
    <col min="30" max="30" width="24" customWidth="1"/>
    <col min="31" max="31" width="23.42578125" customWidth="1"/>
    <col min="32" max="32" width="22" customWidth="1"/>
    <col min="33" max="33" width="29.7109375" customWidth="1"/>
    <col min="34" max="34" width="23.42578125" customWidth="1"/>
    <col min="35" max="35" width="26.7109375" customWidth="1"/>
    <col min="36" max="36" width="38.5703125" customWidth="1"/>
    <col min="37" max="37" width="21.42578125" customWidth="1"/>
    <col min="38" max="38" width="33.28515625" customWidth="1"/>
    <col min="39" max="39" width="25.28515625" customWidth="1"/>
    <col min="40" max="40" width="26" customWidth="1"/>
    <col min="41" max="41" width="25.28515625" customWidth="1"/>
    <col min="42" max="42" width="29.42578125" customWidth="1"/>
    <col min="43" max="43" width="23.7109375" customWidth="1"/>
    <col min="44" max="44" width="26.28515625" style="939" customWidth="1"/>
    <col min="45" max="45" width="26.7109375" customWidth="1"/>
    <col min="46" max="46" width="22" customWidth="1"/>
    <col min="47" max="47" width="24.7109375" customWidth="1"/>
    <col min="48" max="49" width="23.42578125" customWidth="1"/>
    <col min="50" max="50" width="23.5703125" customWidth="1"/>
    <col min="51" max="51" width="27.7109375" customWidth="1"/>
    <col min="52" max="53" width="24.7109375" customWidth="1"/>
    <col min="54" max="54" width="17.28515625" customWidth="1"/>
    <col min="55" max="55" width="24.28515625" customWidth="1"/>
    <col min="56" max="56" width="34" customWidth="1"/>
  </cols>
  <sheetData>
    <row r="1" spans="1:55" ht="30" customHeight="1" x14ac:dyDescent="0.3">
      <c r="A1" s="223"/>
      <c r="B1" s="223"/>
      <c r="C1" s="1164">
        <v>1</v>
      </c>
      <c r="D1" s="1072" t="str">
        <f>'Звіт 1,2,3'!B1</f>
        <v>Ідентифікаційний код ЄДРПОУ</v>
      </c>
      <c r="E1" s="1073" t="str">
        <f>'Звіт 1,2,3'!D1</f>
        <v>02006707</v>
      </c>
      <c r="F1" s="1074" t="str">
        <f>'Звіт 1,2,3'!F1</f>
        <v>код КОПФГ</v>
      </c>
      <c r="G1" s="1075">
        <f>'Звіт 1,2,3'!H1</f>
        <v>430</v>
      </c>
      <c r="H1" s="1849" t="str">
        <f>'Звіт 1,2,3'!H7</f>
        <v>КНП "Запорізький регіональний фтизіопульмонологічний клінічний лікувально-діагностичний центр" ЗОР</v>
      </c>
      <c r="I1" s="1850"/>
      <c r="J1" s="1850"/>
      <c r="K1" s="1850"/>
      <c r="L1" s="1850"/>
      <c r="M1" s="1850"/>
      <c r="N1" s="1071"/>
      <c r="O1" s="1071"/>
      <c r="P1" s="1071"/>
      <c r="Q1" s="1057"/>
      <c r="R1" s="1057"/>
      <c r="S1" s="1057"/>
      <c r="T1" s="1057"/>
      <c r="U1" s="1057"/>
      <c r="V1" s="1057"/>
      <c r="W1" s="1057"/>
      <c r="X1" s="1057"/>
      <c r="Y1" s="1057"/>
      <c r="Z1" s="1057"/>
      <c r="AA1" s="1057"/>
      <c r="AB1" s="1057"/>
      <c r="AC1" s="1057"/>
      <c r="AD1" s="1057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  <c r="AT1" s="1056"/>
      <c r="AU1" s="1056"/>
      <c r="AV1" s="1056"/>
      <c r="AW1" s="1056"/>
      <c r="AX1" s="1056"/>
      <c r="AY1" s="1056"/>
      <c r="AZ1" s="1056"/>
      <c r="BA1" s="1056"/>
      <c r="BB1" s="1056"/>
      <c r="BC1" s="1056"/>
    </row>
    <row r="2" spans="1:55" ht="20.25" x14ac:dyDescent="0.3">
      <c r="A2" s="223"/>
      <c r="B2" s="223"/>
      <c r="C2" s="1076"/>
      <c r="D2" s="1851" t="s">
        <v>730</v>
      </c>
      <c r="E2" s="1851"/>
      <c r="F2" s="1851"/>
      <c r="G2" s="1851"/>
      <c r="H2" s="1851"/>
      <c r="I2" s="1851"/>
      <c r="J2" s="1077" t="s">
        <v>537</v>
      </c>
      <c r="K2" s="1078" t="str">
        <f>IF('Звіт   4,5,6'!E43=0,"Дані не введено",Hidden!B7)</f>
        <v>Зелена</v>
      </c>
      <c r="L2" s="1079"/>
      <c r="M2" s="1079"/>
      <c r="N2" s="1079"/>
      <c r="O2" s="1079"/>
      <c r="P2" s="1079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57"/>
      <c r="AB2" s="1057"/>
      <c r="AC2" s="1057"/>
      <c r="AD2" s="1057"/>
      <c r="AE2" s="1056"/>
      <c r="AF2" s="1056"/>
      <c r="AG2" s="1056"/>
      <c r="AH2" s="1056"/>
      <c r="AI2" s="1056"/>
      <c r="AJ2" s="1056"/>
      <c r="AK2" s="1056"/>
      <c r="AL2" s="1056"/>
      <c r="AM2" s="1056"/>
      <c r="AN2" s="1056"/>
      <c r="AO2" s="1056"/>
      <c r="AP2" s="1056"/>
      <c r="AQ2" s="1056"/>
      <c r="AR2" s="1056"/>
      <c r="AS2" s="1056"/>
      <c r="AT2" s="1056"/>
      <c r="AU2" s="1056"/>
      <c r="AV2" s="1056"/>
      <c r="AW2" s="1056"/>
      <c r="AX2" s="1056"/>
      <c r="AY2" s="1056"/>
      <c r="AZ2" s="1056"/>
      <c r="BA2" s="1056"/>
      <c r="BB2" s="1056"/>
      <c r="BC2" s="1056"/>
    </row>
    <row r="3" spans="1:55" ht="15" x14ac:dyDescent="0.25">
      <c r="A3" s="223"/>
      <c r="B3" s="223"/>
      <c r="C3" s="1079"/>
      <c r="D3" s="1852" t="str">
        <f>'Звіт 1,2,3'!A3</f>
        <v>ЗВІТ ПРО ДОХОДИ ТА ВИТРАТИ за 1 півріччя  2021 року</v>
      </c>
      <c r="E3" s="1852"/>
      <c r="F3" s="1852"/>
      <c r="G3" s="1852"/>
      <c r="H3" s="1852"/>
      <c r="I3" s="1852"/>
      <c r="J3" s="1079"/>
      <c r="K3" s="1079"/>
      <c r="L3" s="1079"/>
      <c r="M3" s="1079"/>
      <c r="N3" s="1079"/>
      <c r="O3" s="1079"/>
      <c r="P3" s="1079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57"/>
      <c r="AB3" s="1057"/>
      <c r="AC3" s="1057"/>
      <c r="AD3" s="1057"/>
      <c r="AE3" s="1056"/>
      <c r="AF3" s="1056"/>
      <c r="AG3" s="1056"/>
      <c r="AH3" s="1056"/>
      <c r="AI3" s="1056"/>
      <c r="AJ3" s="1056"/>
      <c r="AK3" s="1056"/>
      <c r="AL3" s="1056"/>
      <c r="AM3" s="1056"/>
      <c r="AN3" s="1056"/>
      <c r="AO3" s="1056"/>
      <c r="AP3" s="1056"/>
      <c r="AQ3" s="1056"/>
      <c r="AR3" s="1056"/>
      <c r="AS3" s="1056"/>
      <c r="AT3" s="1056"/>
      <c r="AU3" s="1056"/>
      <c r="AV3" s="1056"/>
      <c r="AW3" s="1056"/>
      <c r="AX3" s="1056"/>
      <c r="AY3" s="1056"/>
      <c r="AZ3" s="1056"/>
      <c r="BA3" s="1056"/>
      <c r="BB3" s="1056"/>
      <c r="BC3" s="1056"/>
    </row>
    <row r="4" spans="1:55" ht="57" thickBot="1" x14ac:dyDescent="0.3">
      <c r="A4" s="223"/>
      <c r="B4" s="223" t="s">
        <v>2073</v>
      </c>
      <c r="C4" s="1304" t="s">
        <v>736</v>
      </c>
      <c r="D4" s="406" t="s">
        <v>738</v>
      </c>
      <c r="E4" s="1213" t="s">
        <v>325</v>
      </c>
      <c r="F4" s="1220" t="s">
        <v>739</v>
      </c>
      <c r="G4" s="1305" t="s">
        <v>737</v>
      </c>
      <c r="H4" s="1853" t="s">
        <v>757</v>
      </c>
      <c r="I4" s="1854"/>
      <c r="J4" s="1854"/>
      <c r="K4" s="1854"/>
      <c r="L4" s="1855"/>
      <c r="M4" s="1855"/>
      <c r="N4" s="1855"/>
      <c r="O4" s="1071"/>
      <c r="P4" s="1071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6"/>
      <c r="AF4" s="1056"/>
      <c r="AG4" s="1056"/>
      <c r="AH4" s="1056"/>
      <c r="AI4" s="1056"/>
      <c r="AJ4" s="1056"/>
      <c r="AK4" s="1056"/>
      <c r="AL4" s="1056"/>
      <c r="AM4" s="1056"/>
      <c r="AN4" s="1056"/>
      <c r="AO4" s="1056"/>
      <c r="AP4" s="1056"/>
      <c r="AQ4" s="1056"/>
      <c r="AR4" s="1056"/>
      <c r="AS4" s="1056"/>
      <c r="AT4" s="1056"/>
      <c r="AU4" s="1056"/>
      <c r="AV4" s="1056"/>
      <c r="AW4" s="1056"/>
      <c r="AX4" s="1056"/>
      <c r="AY4" s="1056"/>
      <c r="AZ4" s="1056"/>
      <c r="BA4" s="1056"/>
      <c r="BB4" s="1056"/>
      <c r="BC4" s="1056"/>
    </row>
    <row r="5" spans="1:55" ht="37.5" customHeight="1" x14ac:dyDescent="0.3">
      <c r="A5" s="223"/>
      <c r="B5" s="959"/>
      <c r="C5" s="1218">
        <v>1</v>
      </c>
      <c r="D5" s="1219" t="s">
        <v>2092</v>
      </c>
      <c r="E5" s="1213" t="s">
        <v>326</v>
      </c>
      <c r="F5" s="1220" t="s">
        <v>327</v>
      </c>
      <c r="G5" s="1214" t="str">
        <f>IF('Звіт   4,5,6'!E43=0,"Дані не введено",IF(OR(E1=0,'Звіт 1,2,3'!H7=0,'Звіт 1,2,3'!H8=0,'Звіт 1,2,3'!H9=0,'Звіт 1,2,3'!H10=0,'Звіт   9'!C105=0,'Звіт   9'!E105=0,'Звіт   9'!G105=0,'Звіт   9'!I105=0,'Звіт   9'!K105=0,'Звіт Пацієнт '!L10="ПОМИЛКА"),"ПОМИЛКА","ПРАВДА"))</f>
        <v>ПРАВДА</v>
      </c>
      <c r="H5" s="1845" t="str">
        <f>IF('Звіт   4,5,6'!E43=0,"Дані не введено",IF(AND((H7-I7)&lt;=1,(H7-I7)&gt;=-1,(J7-K7)&lt;=1,(J7-K7)&gt;=-1),"ПРАВДА","ПОМИЛКА"))</f>
        <v>ПРАВДА</v>
      </c>
      <c r="I5" s="1845"/>
      <c r="J5" s="1845"/>
      <c r="K5" s="1845"/>
      <c r="L5" s="1842" t="s">
        <v>1295</v>
      </c>
      <c r="M5" s="1843"/>
      <c r="N5" s="1843"/>
      <c r="O5" s="1844"/>
      <c r="P5" s="1071"/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7"/>
      <c r="AD5" s="1057"/>
      <c r="AE5" s="1056"/>
      <c r="AF5" s="1056"/>
      <c r="AG5" s="1056"/>
      <c r="AH5" s="1056"/>
      <c r="AI5" s="1056"/>
      <c r="AJ5" s="1056"/>
      <c r="AK5" s="1056"/>
      <c r="AL5" s="1056"/>
      <c r="AM5" s="1056"/>
      <c r="AN5" s="1056"/>
      <c r="AO5" s="1056"/>
      <c r="AP5" s="1056"/>
      <c r="AQ5" s="1056"/>
      <c r="AR5" s="1056"/>
      <c r="AS5" s="1056"/>
      <c r="AT5" s="1056"/>
      <c r="AU5" s="1056"/>
      <c r="AV5" s="1056"/>
      <c r="AW5" s="1056"/>
      <c r="AX5" s="1056"/>
      <c r="AY5" s="1056"/>
      <c r="AZ5" s="1056"/>
      <c r="BA5" s="1056"/>
      <c r="BB5" s="1056"/>
      <c r="BC5" s="1056"/>
    </row>
    <row r="6" spans="1:55" ht="32.25" customHeight="1" x14ac:dyDescent="0.3">
      <c r="A6" s="223"/>
      <c r="B6" s="959" t="s">
        <v>1830</v>
      </c>
      <c r="C6" s="1847">
        <v>2</v>
      </c>
      <c r="D6" s="1840" t="s">
        <v>340</v>
      </c>
      <c r="E6" s="1819" t="s">
        <v>326</v>
      </c>
      <c r="F6" s="1820" t="s">
        <v>327</v>
      </c>
      <c r="G6" s="1821" t="str">
        <f>IF('Звіт   4,5,6'!E43=0,"Дані не введено",IF(AND((J7-K7)&lt;=1,(J7-K7)&gt;=-1,(H7-I7)&lt;=1,(H7-I7)&gt;=-1,P7="ПРАВДА"),"ПРАВДА","ПОМИЛКА"))</f>
        <v>ПРАВДА</v>
      </c>
      <c r="H6" s="1302" t="s">
        <v>328</v>
      </c>
      <c r="I6" s="1169" t="s">
        <v>329</v>
      </c>
      <c r="J6" s="1169" t="s">
        <v>330</v>
      </c>
      <c r="K6" s="1705" t="s">
        <v>331</v>
      </c>
      <c r="L6" s="1707" t="s">
        <v>328</v>
      </c>
      <c r="M6" s="1695" t="s">
        <v>329</v>
      </c>
      <c r="N6" s="1695" t="s">
        <v>330</v>
      </c>
      <c r="O6" s="1708" t="s">
        <v>331</v>
      </c>
      <c r="P6" s="1071"/>
      <c r="Q6" s="1057"/>
      <c r="R6" s="1057"/>
      <c r="S6" s="1057"/>
      <c r="T6" s="1057"/>
      <c r="U6" s="1057"/>
      <c r="V6" s="1057"/>
      <c r="W6" s="1057"/>
      <c r="X6" s="1057"/>
      <c r="Y6" s="1057"/>
      <c r="Z6" s="1057"/>
      <c r="AA6" s="1057"/>
      <c r="AB6" s="1057"/>
      <c r="AC6" s="1057"/>
      <c r="AD6" s="1057"/>
      <c r="AE6" s="1056"/>
      <c r="AF6" s="1056"/>
      <c r="AG6" s="1056"/>
      <c r="AH6" s="1056"/>
      <c r="AI6" s="1056"/>
      <c r="AJ6" s="1056"/>
      <c r="AK6" s="1056"/>
      <c r="AL6" s="1056"/>
      <c r="AM6" s="1056"/>
      <c r="AN6" s="1056"/>
      <c r="AO6" s="1056"/>
      <c r="AP6" s="1056"/>
      <c r="AQ6" s="1056"/>
      <c r="AR6" s="1056"/>
      <c r="AS6" s="1056"/>
      <c r="AT6" s="1056"/>
      <c r="AU6" s="1056"/>
      <c r="AV6" s="1056"/>
      <c r="AW6" s="1056"/>
      <c r="AX6" s="1056"/>
      <c r="AY6" s="1056"/>
      <c r="AZ6" s="1056"/>
      <c r="BA6" s="1056"/>
      <c r="BB6" s="1056"/>
      <c r="BC6" s="1056"/>
    </row>
    <row r="7" spans="1:55" ht="33" customHeight="1" thickBot="1" x14ac:dyDescent="0.35">
      <c r="A7" s="223"/>
      <c r="B7" s="959"/>
      <c r="C7" s="1847"/>
      <c r="D7" s="1840"/>
      <c r="E7" s="1819"/>
      <c r="F7" s="1820"/>
      <c r="G7" s="1821"/>
      <c r="H7" s="1303">
        <f>ROUND('Звіт   9'!E54,1)</f>
        <v>71621.5</v>
      </c>
      <c r="I7" s="1081">
        <f>ROUND('Звіт   9'!E103,1)</f>
        <v>71621.5</v>
      </c>
      <c r="J7" s="1081">
        <f>ROUND('Звіт   9'!I54,1)</f>
        <v>94342.2</v>
      </c>
      <c r="K7" s="1706">
        <f>ROUND('Звіт   9'!I103,1)</f>
        <v>94342.2</v>
      </c>
      <c r="L7" s="1709">
        <f>ROUND('Звіт   9'!H54,1)</f>
        <v>81540.899999999994</v>
      </c>
      <c r="M7" s="1710">
        <f>ROUND('Звіт   9'!H103,1)</f>
        <v>81540.899999999994</v>
      </c>
      <c r="N7" s="1710">
        <f>ROUND('Звіт   9'!K54,0)</f>
        <v>94342</v>
      </c>
      <c r="O7" s="1711">
        <f>ROUND('Звіт   9'!K103,0)</f>
        <v>94342</v>
      </c>
      <c r="P7" s="1071" t="str">
        <f>IF('Звіт   4,5,6'!E43=0,"Дані не введено",IF(AND((L7-M7)&lt;=1,(L7-M7)&gt;=-1,(N7-O7)&lt;=1,(N7-O7)&gt;=-1),"ПРАВДА","ПОМИЛКА"))</f>
        <v>ПРАВДА</v>
      </c>
      <c r="Q7" s="1057"/>
      <c r="R7" s="1057"/>
      <c r="S7" s="1057"/>
      <c r="T7" s="1057"/>
      <c r="U7" s="1057"/>
      <c r="V7" s="1057"/>
      <c r="W7" s="1057"/>
      <c r="X7" s="1057"/>
      <c r="Y7" s="1057"/>
      <c r="Z7" s="1057"/>
      <c r="AA7" s="1057"/>
      <c r="AB7" s="1057"/>
      <c r="AC7" s="1057"/>
      <c r="AD7" s="1057"/>
      <c r="AE7" s="1056"/>
      <c r="AF7" s="1056"/>
      <c r="AG7" s="1056"/>
      <c r="AH7" s="1056"/>
      <c r="AI7" s="1056"/>
      <c r="AJ7" s="1056"/>
      <c r="AK7" s="1056"/>
      <c r="AL7" s="1056"/>
      <c r="AM7" s="1056"/>
      <c r="AN7" s="1056"/>
      <c r="AO7" s="1056"/>
      <c r="AP7" s="1056"/>
      <c r="AQ7" s="1056"/>
      <c r="AR7" s="1056"/>
      <c r="AS7" s="1056"/>
      <c r="AT7" s="1056"/>
      <c r="AU7" s="1056"/>
      <c r="AV7" s="1056"/>
      <c r="AW7" s="1056"/>
      <c r="AX7" s="1056"/>
      <c r="AY7" s="1056"/>
      <c r="AZ7" s="1056"/>
      <c r="BA7" s="1056"/>
      <c r="BB7" s="1056"/>
      <c r="BC7" s="1056"/>
    </row>
    <row r="8" spans="1:55" ht="53.25" customHeight="1" x14ac:dyDescent="0.3">
      <c r="A8" s="223"/>
      <c r="B8" s="959" t="s">
        <v>1831</v>
      </c>
      <c r="C8" s="1306">
        <v>3</v>
      </c>
      <c r="D8" s="1307" t="s">
        <v>942</v>
      </c>
      <c r="E8" s="1216" t="s">
        <v>326</v>
      </c>
      <c r="F8" s="1217" t="s">
        <v>327</v>
      </c>
      <c r="G8" s="1215" t="str">
        <f>IF('Звіт   4,5,6'!E43=0,"Дані не введено",IF(('Звіт   9'!K54+'Звіт   9'!K103)&gt;0,"ПРАВДА","ПОМИЛКА"))</f>
        <v>ПРАВДА</v>
      </c>
      <c r="H8" s="1082"/>
      <c r="I8" s="1082">
        <f>H7-I7</f>
        <v>0</v>
      </c>
      <c r="J8" s="1082"/>
      <c r="K8" s="1082">
        <f>J7-K7</f>
        <v>0</v>
      </c>
      <c r="L8" s="1071"/>
      <c r="M8" s="1703">
        <f>L7-M7</f>
        <v>0</v>
      </c>
      <c r="N8" s="1703"/>
      <c r="O8" s="1704">
        <f>N7-O7</f>
        <v>0</v>
      </c>
      <c r="P8" s="1083"/>
      <c r="Q8" s="1083"/>
      <c r="R8" s="1084"/>
      <c r="S8" s="1084"/>
      <c r="T8" s="1057"/>
      <c r="U8" s="1057"/>
      <c r="V8" s="1057"/>
      <c r="W8" s="1057"/>
      <c r="X8" s="1057"/>
      <c r="Y8" s="1057"/>
      <c r="Z8" s="1057"/>
      <c r="AA8" s="1057"/>
      <c r="AB8" s="1057"/>
      <c r="AC8" s="1057"/>
      <c r="AD8" s="1057"/>
      <c r="AE8" s="1056"/>
      <c r="AF8" s="1056"/>
      <c r="AG8" s="1056"/>
      <c r="AH8" s="1056"/>
      <c r="AI8" s="1056"/>
      <c r="AJ8" s="1056"/>
      <c r="AK8" s="1056"/>
      <c r="AL8" s="1056"/>
      <c r="AM8" s="1056"/>
      <c r="AN8" s="1056"/>
      <c r="AO8" s="1056"/>
      <c r="AP8" s="1056"/>
      <c r="AQ8" s="1056"/>
      <c r="AR8" s="1056"/>
      <c r="AS8" s="1056"/>
      <c r="AT8" s="1056"/>
      <c r="AU8" s="1056"/>
      <c r="AV8" s="1056"/>
      <c r="AW8" s="1056"/>
      <c r="AX8" s="1056"/>
      <c r="AY8" s="1056"/>
      <c r="AZ8" s="1056"/>
      <c r="BA8" s="1056"/>
      <c r="BB8" s="1056"/>
      <c r="BC8" s="1056"/>
    </row>
    <row r="9" spans="1:55" ht="75" x14ac:dyDescent="0.3">
      <c r="A9" s="223"/>
      <c r="B9" s="959" t="s">
        <v>1832</v>
      </c>
      <c r="C9" s="1819">
        <v>4</v>
      </c>
      <c r="D9" s="1840" t="s">
        <v>701</v>
      </c>
      <c r="E9" s="1819" t="s">
        <v>326</v>
      </c>
      <c r="F9" s="1820" t="s">
        <v>327</v>
      </c>
      <c r="G9" s="1821" t="str">
        <f>IF('Звіт   4,5,6'!E43=0,"Дані не введено",IF(AND(J10&lt;=1,J10&gt;=-1,M10&lt;=1,M10&gt;=-1,Q10&lt;=1,Q10&gt;=-1,S10&lt;=1,S10&gt;=-1),"ПРАВДА","ПОМИЛКА"))</f>
        <v>ПРАВДА</v>
      </c>
      <c r="H9" s="1291" t="s">
        <v>538</v>
      </c>
      <c r="I9" s="1291" t="s">
        <v>700</v>
      </c>
      <c r="J9" s="1112" t="s">
        <v>456</v>
      </c>
      <c r="K9" s="1751" t="s">
        <v>2059</v>
      </c>
      <c r="L9" s="1751" t="s">
        <v>2058</v>
      </c>
      <c r="M9" s="1112" t="s">
        <v>456</v>
      </c>
      <c r="N9" s="1308" t="s">
        <v>699</v>
      </c>
      <c r="O9" s="1309" t="s">
        <v>686</v>
      </c>
      <c r="P9" s="1291" t="s">
        <v>539</v>
      </c>
      <c r="Q9" s="1112" t="s">
        <v>540</v>
      </c>
      <c r="R9" s="1291" t="s">
        <v>700</v>
      </c>
      <c r="S9" s="1112" t="s">
        <v>541</v>
      </c>
      <c r="T9" s="1057"/>
      <c r="U9" s="1057"/>
      <c r="V9" s="1057"/>
      <c r="W9" s="1057"/>
      <c r="X9" s="1057"/>
      <c r="Y9" s="1057"/>
      <c r="Z9" s="1057"/>
      <c r="AA9" s="1056"/>
      <c r="AB9" s="1056"/>
      <c r="AC9" s="1056"/>
      <c r="AD9" s="1056"/>
      <c r="AE9" s="1056"/>
      <c r="AF9" s="1056"/>
      <c r="AG9" s="1056"/>
      <c r="AH9" s="1056"/>
      <c r="AI9" s="1056"/>
      <c r="AJ9" s="1056"/>
      <c r="AK9" s="1056"/>
      <c r="AL9" s="1056"/>
      <c r="AM9" s="1056"/>
      <c r="AN9" s="1056"/>
      <c r="AO9" s="1056"/>
      <c r="AP9" s="1056"/>
      <c r="AQ9" s="1056"/>
      <c r="AR9" s="1056"/>
      <c r="AS9" s="1056"/>
      <c r="AT9" s="1056"/>
      <c r="AU9" s="1056"/>
      <c r="AV9" s="1056"/>
      <c r="AW9" s="1056"/>
      <c r="AX9" s="1056"/>
      <c r="AY9" s="1056"/>
      <c r="AZ9" s="1056"/>
      <c r="BA9" s="1056"/>
      <c r="BB9" s="1056"/>
      <c r="BC9" s="1056"/>
    </row>
    <row r="10" spans="1:55" ht="26.25" customHeight="1" x14ac:dyDescent="0.3">
      <c r="A10" s="223"/>
      <c r="B10" s="959"/>
      <c r="C10" s="1819"/>
      <c r="D10" s="1840"/>
      <c r="E10" s="1819"/>
      <c r="F10" s="1820"/>
      <c r="G10" s="1821"/>
      <c r="H10" s="1310">
        <f>ROUND('Звіт   9'!H30,1)</f>
        <v>28613.1</v>
      </c>
      <c r="I10" s="1310">
        <f>ROUND(('Звіт 10, 11,12,13,14'!F27/1000),1)</f>
        <v>28613.1</v>
      </c>
      <c r="J10" s="1271">
        <f>ROUND((H10-I10),1)</f>
        <v>0</v>
      </c>
      <c r="K10" s="1286">
        <f>ROUND(('Звіт 1,2,3'!G29+'Звіт Пацієнт '!J25)/1000,1)</f>
        <v>16485.400000000001</v>
      </c>
      <c r="L10" s="1310">
        <f>ROUND(('Звіт 10, 11,12,13,14'!M27/1000),1)</f>
        <v>16485.400000000001</v>
      </c>
      <c r="M10" s="1271">
        <f>ROUND((K10-L10),1)</f>
        <v>0</v>
      </c>
      <c r="N10" s="1212">
        <f>ROUND(('Звіт 10, 11,12,13,14'!R27)/1000,1)</f>
        <v>14164.7</v>
      </c>
      <c r="O10" s="1081">
        <f>ROUND((H10+K10-N10),1)</f>
        <v>30933.8</v>
      </c>
      <c r="P10" s="1081">
        <f>ROUND('Звіт   9'!K30,1)</f>
        <v>30933.8</v>
      </c>
      <c r="Q10" s="1270">
        <f>ROUND((P10-O10),1)</f>
        <v>0</v>
      </c>
      <c r="R10" s="1228">
        <f>ROUND(('Звіт 10, 11,12,13,14'!AD27/1000),1)</f>
        <v>30933.8</v>
      </c>
      <c r="S10" s="1270">
        <f>ROUND((P10-R10),1)</f>
        <v>0</v>
      </c>
      <c r="T10" s="1057"/>
      <c r="U10" s="1057"/>
      <c r="V10" s="1057"/>
      <c r="W10" s="1057"/>
      <c r="X10" s="1057"/>
      <c r="Y10" s="1057"/>
      <c r="Z10" s="1057"/>
      <c r="AA10" s="1056"/>
      <c r="AB10" s="1056"/>
      <c r="AC10" s="1056"/>
      <c r="AD10" s="1056"/>
      <c r="AE10" s="1056"/>
      <c r="AF10" s="1056"/>
      <c r="AG10" s="1056"/>
      <c r="AH10" s="1056"/>
      <c r="AI10" s="1056"/>
      <c r="AJ10" s="1056"/>
      <c r="AK10" s="1056"/>
      <c r="AL10" s="1056"/>
      <c r="AM10" s="1056"/>
      <c r="AN10" s="1056"/>
      <c r="AO10" s="1056"/>
      <c r="AP10" s="1056"/>
      <c r="AQ10" s="1056"/>
      <c r="AR10" s="1056"/>
      <c r="AS10" s="1056"/>
      <c r="AT10" s="1056"/>
      <c r="AU10" s="1056"/>
      <c r="AV10" s="1056"/>
      <c r="AW10" s="1056"/>
      <c r="AX10" s="1056"/>
      <c r="AY10" s="1056"/>
      <c r="AZ10" s="1056"/>
      <c r="BA10" s="1056"/>
      <c r="BB10" s="1056"/>
      <c r="BC10" s="1056"/>
    </row>
    <row r="11" spans="1:55" ht="106.9" customHeight="1" x14ac:dyDescent="0.3">
      <c r="A11" s="223"/>
      <c r="B11" s="959" t="s">
        <v>1833</v>
      </c>
      <c r="C11" s="1819">
        <v>5</v>
      </c>
      <c r="D11" s="1848" t="s">
        <v>1085</v>
      </c>
      <c r="E11" s="1819" t="s">
        <v>326</v>
      </c>
      <c r="F11" s="1820" t="s">
        <v>327</v>
      </c>
      <c r="G11" s="1821" t="str">
        <f>IF('Звіт   4,5,6'!E43=0,"Дані не введено",IF(AND((L12-Q12)&lt;=1,(L12-Q12)&gt;=-1,K12&gt;=0,J12&gt;=0),"ПРАВДА", "ПОМИЛКА"))</f>
        <v>ПРАВДА</v>
      </c>
      <c r="H11" s="1220" t="s">
        <v>635</v>
      </c>
      <c r="I11" s="1220" t="s">
        <v>636</v>
      </c>
      <c r="J11" s="1128" t="s">
        <v>1366</v>
      </c>
      <c r="K11" s="1128" t="s">
        <v>1071</v>
      </c>
      <c r="L11" s="1112" t="s">
        <v>1072</v>
      </c>
      <c r="M11" s="1291" t="s">
        <v>482</v>
      </c>
      <c r="N11" s="1212" t="s">
        <v>1135</v>
      </c>
      <c r="O11" s="1212" t="s">
        <v>1096</v>
      </c>
      <c r="P11" s="1311" t="s">
        <v>1138</v>
      </c>
      <c r="Q11" s="1112" t="s">
        <v>542</v>
      </c>
      <c r="R11" s="1056"/>
      <c r="S11" s="1056"/>
      <c r="T11" s="1080"/>
      <c r="U11" s="1080"/>
      <c r="V11" s="1057"/>
      <c r="W11" s="1057"/>
      <c r="X11" s="1057"/>
      <c r="Y11" s="1057"/>
      <c r="Z11" s="1057"/>
      <c r="AA11" s="1057"/>
      <c r="AB11" s="1057"/>
      <c r="AC11" s="1057"/>
      <c r="AD11" s="1057"/>
      <c r="AE11" s="1056"/>
      <c r="AF11" s="1056"/>
      <c r="AG11" s="1056"/>
      <c r="AH11" s="1056"/>
      <c r="AI11" s="1056"/>
      <c r="AJ11" s="1056"/>
      <c r="AK11" s="1056"/>
      <c r="AL11" s="1056"/>
      <c r="AM11" s="1056"/>
      <c r="AN11" s="1056"/>
      <c r="AO11" s="1056"/>
      <c r="AP11" s="1056"/>
      <c r="AQ11" s="1056"/>
      <c r="AR11" s="1056"/>
      <c r="AS11" s="1056"/>
      <c r="AT11" s="1056"/>
      <c r="AU11" s="1056"/>
      <c r="AV11" s="1056"/>
      <c r="AW11" s="1056"/>
      <c r="AX11" s="1056"/>
      <c r="AY11" s="1056"/>
      <c r="AZ11" s="1056"/>
      <c r="BA11" s="1056"/>
      <c r="BB11" s="1056"/>
      <c r="BC11" s="1056"/>
    </row>
    <row r="12" spans="1:55" ht="30.75" customHeight="1" x14ac:dyDescent="0.3">
      <c r="A12" s="223"/>
      <c r="B12" s="959"/>
      <c r="C12" s="1819"/>
      <c r="D12" s="1848"/>
      <c r="E12" s="1819"/>
      <c r="F12" s="1820"/>
      <c r="G12" s="1821"/>
      <c r="H12" s="1081">
        <f>ROUND(('Звіт   9'!H64),1)</f>
        <v>4743.6000000000004</v>
      </c>
      <c r="I12" s="1081">
        <f>ROUND('Звіт   9'!K64,1)</f>
        <v>9466.1</v>
      </c>
      <c r="J12" s="1228">
        <f>ROUND(('Звіт 10, 11,12,13,14'!G88)/1000,1)</f>
        <v>0</v>
      </c>
      <c r="K12" s="1228">
        <f>ROUND(('Звіт 10, 11,12,13,14'!I82)/1000,1)</f>
        <v>0</v>
      </c>
      <c r="L12" s="1271">
        <f>ROUND((I12-H12-(J12+K12)),1)</f>
        <v>4722.5</v>
      </c>
      <c r="M12" s="1081">
        <f>ROUND(('Звіт   4,5,6'!H7/1000),1)</f>
        <v>67359.399999999994</v>
      </c>
      <c r="N12" s="1212">
        <f>ROUND((('Звіт   4,5,6'!E41+'Звіт   4,5,6'!E92)/1000),1)</f>
        <v>62636.9</v>
      </c>
      <c r="O12" s="1212">
        <f>ROUND((('Звіт   4,5,6'!H34+'Звіт   4,5,6'!H35)/1000),1)</f>
        <v>0</v>
      </c>
      <c r="P12" s="1311">
        <f>ROUND((N12+O12),1)</f>
        <v>62636.9</v>
      </c>
      <c r="Q12" s="1271">
        <f>ROUND((M12-P12),1)</f>
        <v>4722.5</v>
      </c>
      <c r="R12" s="1056"/>
      <c r="S12" s="1056"/>
      <c r="T12" s="1080"/>
      <c r="U12" s="1080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6"/>
      <c r="AF12" s="1056"/>
      <c r="AG12" s="1056"/>
      <c r="AH12" s="1056"/>
      <c r="AI12" s="1056"/>
      <c r="AJ12" s="1056"/>
      <c r="AK12" s="1056"/>
      <c r="AL12" s="1056"/>
      <c r="AM12" s="1056"/>
      <c r="AN12" s="1056"/>
      <c r="AO12" s="1056"/>
      <c r="AP12" s="1056"/>
      <c r="AQ12" s="1056"/>
      <c r="AR12" s="1056"/>
      <c r="AS12" s="1056"/>
      <c r="AT12" s="1056"/>
      <c r="AU12" s="1056"/>
      <c r="AV12" s="1056"/>
      <c r="AW12" s="1056"/>
      <c r="AX12" s="1056"/>
      <c r="AY12" s="1056"/>
      <c r="AZ12" s="1056"/>
      <c r="BA12" s="1056"/>
      <c r="BB12" s="1056"/>
      <c r="BC12" s="1056"/>
    </row>
    <row r="13" spans="1:55" x14ac:dyDescent="0.3">
      <c r="A13" s="223"/>
      <c r="B13" s="959"/>
      <c r="C13" s="1085"/>
      <c r="D13" s="267"/>
      <c r="E13" s="1086"/>
      <c r="F13" s="1086"/>
      <c r="G13" s="1051"/>
      <c r="H13" s="1836" t="s">
        <v>474</v>
      </c>
      <c r="I13" s="1836"/>
      <c r="J13" s="1836"/>
      <c r="K13" s="1836"/>
      <c r="L13" s="1087"/>
      <c r="M13" s="1087"/>
      <c r="N13" s="1088"/>
      <c r="O13" s="1089"/>
      <c r="P13" s="1089"/>
      <c r="Q13" s="1090"/>
      <c r="R13" s="1090"/>
      <c r="S13" s="1090"/>
      <c r="T13" s="1090"/>
      <c r="U13" s="1090"/>
      <c r="V13" s="1091"/>
      <c r="W13" s="1091"/>
      <c r="X13" s="1091"/>
      <c r="Y13" s="1091"/>
      <c r="Z13" s="1091"/>
      <c r="AA13" s="1057"/>
      <c r="AB13" s="1057"/>
      <c r="AC13" s="1057"/>
      <c r="AD13" s="1057"/>
      <c r="AE13" s="1056"/>
      <c r="AF13" s="1056"/>
      <c r="AG13" s="1056"/>
      <c r="AH13" s="1056"/>
      <c r="AI13" s="1056"/>
      <c r="AJ13" s="1056"/>
      <c r="AK13" s="1056"/>
      <c r="AL13" s="1056"/>
      <c r="AM13" s="1056"/>
      <c r="AN13" s="1056"/>
      <c r="AO13" s="1056"/>
      <c r="AP13" s="1056"/>
      <c r="AQ13" s="1056"/>
      <c r="AR13" s="1056"/>
      <c r="AS13" s="1056"/>
      <c r="AT13" s="1056"/>
      <c r="AU13" s="1056"/>
      <c r="AV13" s="1056"/>
      <c r="AW13" s="1056"/>
      <c r="AX13" s="1056"/>
      <c r="AY13" s="1056"/>
      <c r="AZ13" s="1056"/>
      <c r="BA13" s="1056"/>
      <c r="BB13" s="1056"/>
      <c r="BC13" s="1056"/>
    </row>
    <row r="14" spans="1:55" ht="75" x14ac:dyDescent="0.3">
      <c r="A14" s="223"/>
      <c r="B14" s="959" t="s">
        <v>1834</v>
      </c>
      <c r="C14" s="1819">
        <v>6</v>
      </c>
      <c r="D14" s="1846" t="s">
        <v>1084</v>
      </c>
      <c r="E14" s="1819" t="s">
        <v>326</v>
      </c>
      <c r="F14" s="1819" t="s">
        <v>327</v>
      </c>
      <c r="G14" s="1821" t="str">
        <f>IF('Звіт   4,5,6'!E43=0,"Дані не введено",IF(H16="ПОМИЛКА","ПОМИЛКА",IF(AND(H15&gt;0,L15&lt;=0),"ПОМИЛКА","ПРАВДА")))</f>
        <v>ПРАВДА</v>
      </c>
      <c r="H14" s="1212" t="s">
        <v>1086</v>
      </c>
      <c r="I14" s="1212" t="s">
        <v>1087</v>
      </c>
      <c r="J14" s="1212" t="s">
        <v>1088</v>
      </c>
      <c r="K14" s="1212" t="s">
        <v>1089</v>
      </c>
      <c r="L14" s="1128" t="str">
        <f>J11</f>
        <v>Таблиця 13
Т13.2 Амортизація дооцінки
Значення не може бути від’ємним!</v>
      </c>
      <c r="M14" s="1128" t="s">
        <v>1075</v>
      </c>
      <c r="N14" s="1092"/>
      <c r="O14" s="1093"/>
      <c r="P14" s="1093"/>
      <c r="Q14" s="226">
        <f>L12-Q12</f>
        <v>0</v>
      </c>
      <c r="R14" s="226"/>
      <c r="S14" s="226"/>
      <c r="T14" s="1057"/>
      <c r="U14" s="1057"/>
      <c r="V14" s="1057"/>
      <c r="W14" s="1057"/>
      <c r="X14" s="1057"/>
      <c r="Y14" s="1057"/>
      <c r="Z14" s="1057"/>
      <c r="AA14" s="1057"/>
      <c r="AB14" s="1057"/>
      <c r="AC14" s="1057"/>
      <c r="AD14" s="1057"/>
      <c r="AE14" s="1056"/>
      <c r="AF14" s="1056"/>
      <c r="AG14" s="1056"/>
      <c r="AH14" s="1056"/>
      <c r="AI14" s="1056"/>
      <c r="AJ14" s="1056"/>
      <c r="AK14" s="1056"/>
      <c r="AL14" s="1056"/>
      <c r="AM14" s="1056"/>
      <c r="AN14" s="1056"/>
      <c r="AO14" s="1056"/>
      <c r="AP14" s="1056"/>
      <c r="AQ14" s="1056"/>
      <c r="AR14" s="1056"/>
      <c r="AS14" s="1056"/>
      <c r="AT14" s="1056"/>
      <c r="AU14" s="1056"/>
      <c r="AV14" s="1056"/>
      <c r="AW14" s="1056"/>
      <c r="AX14" s="1056"/>
      <c r="AY14" s="1056"/>
      <c r="AZ14" s="1056"/>
      <c r="BA14" s="1056"/>
      <c r="BB14" s="1056"/>
      <c r="BC14" s="1056"/>
    </row>
    <row r="15" spans="1:55" ht="33" customHeight="1" x14ac:dyDescent="0.3">
      <c r="A15" s="223"/>
      <c r="B15" s="959"/>
      <c r="C15" s="1819"/>
      <c r="D15" s="1846"/>
      <c r="E15" s="1819"/>
      <c r="F15" s="1819"/>
      <c r="G15" s="1821"/>
      <c r="H15" s="1286">
        <f>ROUND('Звіт   9'!H59-'Звіт 10, 11,12,13,14'!F68/1000,1)</f>
        <v>0</v>
      </c>
      <c r="I15" s="1286">
        <f>ROUND('Звіт   9'!K59-'Звіт 10, 11,12,13,14'!K68/1000,1)</f>
        <v>0</v>
      </c>
      <c r="J15" s="1286">
        <f>ROUND(('Звіт 10, 11,12,13,14'!F67-'Звіт 10, 11,12,13,14'!F68)/1000,1)</f>
        <v>0</v>
      </c>
      <c r="K15" s="1286">
        <f>ROUND(('Звіт 10, 11,12,13,14'!K67-'Звіт 10, 11,12,13,14'!K68)/1000,1)</f>
        <v>0</v>
      </c>
      <c r="L15" s="1249">
        <f>J12</f>
        <v>0</v>
      </c>
      <c r="M15" s="1228">
        <f>'Звіт 10, 11,12,13,14'!L95+'Звіт 10, 11,12,13,14'!P95</f>
        <v>0</v>
      </c>
      <c r="N15" s="1092"/>
      <c r="O15" s="1092"/>
      <c r="P15" s="1092"/>
      <c r="Q15" s="226"/>
      <c r="R15" s="226"/>
      <c r="S15" s="226"/>
      <c r="T15" s="1057"/>
      <c r="U15" s="1057"/>
      <c r="V15" s="1057"/>
      <c r="W15" s="1057"/>
      <c r="X15" s="1057"/>
      <c r="Y15" s="1057"/>
      <c r="Z15" s="1057"/>
      <c r="AA15" s="1057"/>
      <c r="AB15" s="1057"/>
      <c r="AC15" s="1057"/>
      <c r="AD15" s="1057"/>
      <c r="AE15" s="1056"/>
      <c r="AF15" s="1056"/>
      <c r="AG15" s="1056"/>
      <c r="AH15" s="1056"/>
      <c r="AI15" s="1056"/>
      <c r="AJ15" s="1056"/>
      <c r="AK15" s="1056"/>
      <c r="AL15" s="1056"/>
      <c r="AM15" s="1056"/>
      <c r="AN15" s="1056"/>
      <c r="AO15" s="1056"/>
      <c r="AP15" s="1056"/>
      <c r="AQ15" s="1056"/>
      <c r="AR15" s="1056"/>
      <c r="AS15" s="1056"/>
      <c r="AT15" s="1056"/>
      <c r="AU15" s="1056"/>
      <c r="AV15" s="1056"/>
      <c r="AW15" s="1056"/>
      <c r="AX15" s="1056"/>
      <c r="AY15" s="1056"/>
      <c r="AZ15" s="1056"/>
      <c r="BA15" s="1056"/>
      <c r="BB15" s="1056"/>
      <c r="BC15" s="1056"/>
    </row>
    <row r="16" spans="1:55" ht="31.5" customHeight="1" x14ac:dyDescent="0.3">
      <c r="A16" s="223"/>
      <c r="B16" s="959" t="s">
        <v>1835</v>
      </c>
      <c r="C16" s="1218">
        <v>7</v>
      </c>
      <c r="D16" s="1287" t="s">
        <v>1126</v>
      </c>
      <c r="E16" s="1213" t="s">
        <v>326</v>
      </c>
      <c r="F16" s="1220" t="s">
        <v>327</v>
      </c>
      <c r="G16" s="1214" t="str">
        <f>IF('Звіт   4,5,6'!E43=0,"Дані не введено",IF('Звіт   9'!H64&gt;=(0),"ПРАВДА","ПОМИЛКА"))</f>
        <v>ПРАВДА</v>
      </c>
      <c r="H16" s="1288" t="str">
        <f>IF(AND((H15-J15)&gt;=-1,(H15-J15)&lt;=1,(I15-K15)&gt;=-1,(I15-K15)&lt;=1,M15&lt;=1,M15&gt;=-1),"ПРАВДА","ПОМИЛКА")</f>
        <v>ПРАВДА</v>
      </c>
      <c r="I16" s="1289"/>
      <c r="J16" s="1290"/>
      <c r="K16" s="1089"/>
      <c r="L16" s="1089"/>
      <c r="M16" s="1089"/>
      <c r="N16" s="1089"/>
      <c r="O16" s="1089"/>
      <c r="P16" s="1089"/>
      <c r="Q16" s="1090"/>
      <c r="R16" s="1090"/>
      <c r="S16" s="1090"/>
      <c r="T16" s="1080"/>
      <c r="U16" s="1080"/>
      <c r="V16" s="1057"/>
      <c r="W16" s="1057"/>
      <c r="X16" s="1057"/>
      <c r="Y16" s="1057"/>
      <c r="Z16" s="1057"/>
      <c r="AA16" s="1057"/>
      <c r="AB16" s="1057"/>
      <c r="AC16" s="1057"/>
      <c r="AD16" s="1057"/>
      <c r="AE16" s="1056"/>
      <c r="AF16" s="1056"/>
      <c r="AG16" s="1056"/>
      <c r="AH16" s="1056"/>
      <c r="AI16" s="1056"/>
      <c r="AJ16" s="1056"/>
      <c r="AK16" s="1056"/>
      <c r="AL16" s="1056"/>
      <c r="AM16" s="1056"/>
      <c r="AN16" s="1056"/>
      <c r="AO16" s="1056"/>
      <c r="AP16" s="1056"/>
      <c r="AQ16" s="1056"/>
      <c r="AR16" s="1056"/>
      <c r="AS16" s="1056"/>
      <c r="AT16" s="1056"/>
      <c r="AU16" s="1056"/>
      <c r="AV16" s="1056"/>
      <c r="AW16" s="1056"/>
      <c r="AX16" s="1056"/>
      <c r="AY16" s="1056"/>
      <c r="AZ16" s="1056"/>
      <c r="BA16" s="1056"/>
      <c r="BB16" s="1056"/>
      <c r="BC16" s="1056"/>
    </row>
    <row r="17" spans="1:55" ht="110.25" customHeight="1" x14ac:dyDescent="0.3">
      <c r="A17" s="223"/>
      <c r="B17" s="959" t="s">
        <v>1836</v>
      </c>
      <c r="C17" s="1819">
        <v>8</v>
      </c>
      <c r="D17" s="1846" t="s">
        <v>679</v>
      </c>
      <c r="E17" s="1819" t="s">
        <v>326</v>
      </c>
      <c r="F17" s="1820" t="s">
        <v>327</v>
      </c>
      <c r="G17" s="1821" t="str">
        <f>IF('Звіт   4,5,6'!E43=0,"Дані не введено",IF(P18="ПОМИЛКА","ПОМИЛКА",IF(AND(K18&lt;=1,K18&gt;=-1,O18&lt;=1,O18&gt;=-1,Q18&gt;=0),"ПРАВДА","ПОМИЛКА")))</f>
        <v>ПРАВДА</v>
      </c>
      <c r="H17" s="1291" t="s">
        <v>543</v>
      </c>
      <c r="I17" s="1291" t="s">
        <v>677</v>
      </c>
      <c r="J17" s="1291" t="s">
        <v>702</v>
      </c>
      <c r="K17" s="1112" t="s">
        <v>1080</v>
      </c>
      <c r="L17" s="1291" t="s">
        <v>703</v>
      </c>
      <c r="M17" s="1294" t="s">
        <v>719</v>
      </c>
      <c r="N17" s="1291" t="s">
        <v>544</v>
      </c>
      <c r="O17" s="1112" t="s">
        <v>678</v>
      </c>
      <c r="P17" s="1291" t="s">
        <v>720</v>
      </c>
      <c r="Q17" s="1128" t="s">
        <v>684</v>
      </c>
      <c r="R17" s="1080"/>
      <c r="S17" s="1057"/>
      <c r="T17" s="1057"/>
      <c r="U17" s="1057"/>
      <c r="V17" s="1057"/>
      <c r="W17" s="1057"/>
      <c r="X17" s="1057"/>
      <c r="Y17" s="1057"/>
      <c r="Z17" s="1057"/>
      <c r="AA17" s="1057"/>
      <c r="AB17" s="1056"/>
      <c r="AC17" s="1056"/>
      <c r="AD17" s="1056"/>
      <c r="AE17" s="1056"/>
      <c r="AF17" s="1056"/>
      <c r="AG17" s="1056"/>
      <c r="AH17" s="1056"/>
      <c r="AI17" s="1056"/>
      <c r="AJ17" s="1056"/>
      <c r="AK17" s="1056"/>
      <c r="AL17" s="1056"/>
      <c r="AM17" s="1056"/>
      <c r="AN17" s="1056"/>
      <c r="AO17" s="1056"/>
      <c r="AP17" s="1056"/>
      <c r="AQ17" s="1056"/>
      <c r="AR17" s="1056"/>
      <c r="AS17" s="1056"/>
      <c r="AT17" s="1056"/>
      <c r="AU17" s="1056"/>
      <c r="AV17" s="1056"/>
      <c r="AW17" s="1056"/>
      <c r="AX17" s="1056"/>
      <c r="AY17" s="1056"/>
      <c r="AZ17" s="1056"/>
      <c r="BA17" s="1056"/>
      <c r="BB17" s="1056"/>
      <c r="BC17" s="1056"/>
    </row>
    <row r="18" spans="1:55" ht="30" customHeight="1" x14ac:dyDescent="0.3">
      <c r="A18" s="223"/>
      <c r="B18" s="959"/>
      <c r="C18" s="1819"/>
      <c r="D18" s="1846"/>
      <c r="E18" s="1819"/>
      <c r="F18" s="1820"/>
      <c r="G18" s="1821"/>
      <c r="H18" s="1292">
        <f>ROUND(('Звіт   9'!H16),1)</f>
        <v>106.6</v>
      </c>
      <c r="I18" s="1292">
        <f>ROUND(('Звіт 1,2,3'!G71/1000),1)</f>
        <v>2164.9</v>
      </c>
      <c r="J18" s="1292">
        <f>ROUND(('Звіт 10, 11,12,13,14'!M17/1000),1)</f>
        <v>2164.9</v>
      </c>
      <c r="K18" s="1271">
        <f>ROUND((I18-J18),1)</f>
        <v>0</v>
      </c>
      <c r="L18" s="1292">
        <f>ROUND((('Звіт 10, 11,12,13,14'!R17+'Звіт 10, 11,12,13,14'!S17)/1000),1)</f>
        <v>2079.6</v>
      </c>
      <c r="M18" s="1295">
        <f>ROUND((H18+I18-L18),1)</f>
        <v>191.9</v>
      </c>
      <c r="N18" s="1292">
        <f>ROUND('Звіт   9'!K16,1)</f>
        <v>191.9</v>
      </c>
      <c r="O18" s="1296">
        <f>ROUND((M18-N18),1)</f>
        <v>0</v>
      </c>
      <c r="P18" s="1214" t="str">
        <f>'Звіт 10, 11,12,13,14'!AI17</f>
        <v>ПРАВДА</v>
      </c>
      <c r="Q18" s="1301">
        <f>ROUND(('Звіт 10, 11,12,13,14'!I78/1000),1)</f>
        <v>0</v>
      </c>
      <c r="R18" s="1057"/>
      <c r="S18" s="1057"/>
      <c r="T18" s="1057"/>
      <c r="U18" s="1057"/>
      <c r="V18" s="1057"/>
      <c r="W18" s="1057"/>
      <c r="X18" s="1057"/>
      <c r="Y18" s="1057"/>
      <c r="Z18" s="1057"/>
      <c r="AA18" s="1057"/>
      <c r="AB18" s="1056"/>
      <c r="AC18" s="1056"/>
      <c r="AD18" s="1056"/>
      <c r="AE18" s="1056"/>
      <c r="AF18" s="1056"/>
      <c r="AG18" s="1056"/>
      <c r="AH18" s="1056"/>
      <c r="AI18" s="1056"/>
      <c r="AJ18" s="1056"/>
      <c r="AK18" s="1056"/>
      <c r="AL18" s="1056"/>
      <c r="AM18" s="1056"/>
      <c r="AN18" s="1056"/>
      <c r="AO18" s="1056"/>
      <c r="AP18" s="1056"/>
      <c r="AQ18" s="1056"/>
      <c r="AR18" s="1056"/>
      <c r="AS18" s="1056"/>
      <c r="AT18" s="1056"/>
      <c r="AU18" s="1056"/>
      <c r="AV18" s="1056"/>
      <c r="AW18" s="1056"/>
      <c r="AX18" s="1056"/>
      <c r="AY18" s="1056"/>
      <c r="AZ18" s="1056"/>
      <c r="BA18" s="1056"/>
      <c r="BB18" s="1056"/>
      <c r="BC18" s="1056"/>
    </row>
    <row r="19" spans="1:55" ht="93.75" x14ac:dyDescent="0.3">
      <c r="A19" s="223"/>
      <c r="B19" s="959" t="s">
        <v>1837</v>
      </c>
      <c r="C19" s="1819">
        <v>9</v>
      </c>
      <c r="D19" s="1840" t="s">
        <v>1079</v>
      </c>
      <c r="E19" s="1819" t="s">
        <v>326</v>
      </c>
      <c r="F19" s="1820" t="s">
        <v>327</v>
      </c>
      <c r="G19" s="1821" t="str">
        <f>IF('Звіт   4,5,6'!E43=0,"Дані не введено",IF(AND(N20&lt;=1,N20&gt;=-1,P20&lt;=1,P20&gt;=-1),"ПРАВДА","ПОМИЛКА"))</f>
        <v>ПРАВДА</v>
      </c>
      <c r="H19" s="1220" t="s">
        <v>681</v>
      </c>
      <c r="I19" s="1220" t="s">
        <v>680</v>
      </c>
      <c r="J19" s="1291" t="s">
        <v>682</v>
      </c>
      <c r="K19" s="1220" t="s">
        <v>1073</v>
      </c>
      <c r="L19" s="1220" t="s">
        <v>1077</v>
      </c>
      <c r="M19" s="1297" t="s">
        <v>1074</v>
      </c>
      <c r="N19" s="1298" t="s">
        <v>1076</v>
      </c>
      <c r="O19" s="1291" t="s">
        <v>683</v>
      </c>
      <c r="P19" s="1298" t="s">
        <v>1078</v>
      </c>
      <c r="Q19" s="1057"/>
      <c r="R19" s="1057"/>
      <c r="S19" s="1057"/>
      <c r="T19" s="1057"/>
      <c r="U19" s="1057"/>
      <c r="V19" s="1057"/>
      <c r="W19" s="1057"/>
      <c r="X19" s="1057"/>
      <c r="Y19" s="1057"/>
      <c r="Z19" s="1057"/>
      <c r="AA19" s="1057"/>
      <c r="AB19" s="1057"/>
      <c r="AC19" s="1057"/>
      <c r="AD19" s="1057"/>
      <c r="AE19" s="1056"/>
      <c r="AF19" s="1056"/>
      <c r="AG19" s="1056"/>
      <c r="AH19" s="1056"/>
      <c r="AI19" s="1056"/>
      <c r="AJ19" s="1056"/>
      <c r="AK19" s="1056"/>
      <c r="AL19" s="1056"/>
      <c r="AM19" s="1056"/>
      <c r="AN19" s="1056"/>
      <c r="AO19" s="1056"/>
      <c r="AP19" s="1056"/>
      <c r="AQ19" s="1056"/>
      <c r="AR19" s="1056"/>
      <c r="AS19" s="1056"/>
      <c r="AT19" s="1056"/>
      <c r="AU19" s="1056"/>
      <c r="AV19" s="1056"/>
      <c r="AW19" s="1056"/>
      <c r="AX19" s="1056"/>
      <c r="AY19" s="1056"/>
      <c r="AZ19" s="1056"/>
      <c r="BA19" s="1056"/>
      <c r="BB19" s="1056"/>
      <c r="BC19" s="1056"/>
    </row>
    <row r="20" spans="1:55" ht="31.5" customHeight="1" x14ac:dyDescent="0.3">
      <c r="A20" s="223"/>
      <c r="B20" s="959"/>
      <c r="C20" s="1819"/>
      <c r="D20" s="1840"/>
      <c r="E20" s="1819"/>
      <c r="F20" s="1820"/>
      <c r="G20" s="1821"/>
      <c r="H20" s="1293">
        <f>ROUND(('Звіт   9'!H15+'Звіт   9'!H19),1)</f>
        <v>-39104.1</v>
      </c>
      <c r="I20" s="1293">
        <f>ROUND(('Звіт   9'!K15+'Звіт   9'!K19),1)</f>
        <v>-39467.5</v>
      </c>
      <c r="J20" s="1293">
        <f>ROUND((('Звіт 10, 11,12,13,14'!R12+'Звіт 10, 11,12,13,14'!R15+'Звіт 10, 11,12,13,14'!R22+'Звіт 10, 11,12,13,14'!R25)/1000),1)</f>
        <v>407.6</v>
      </c>
      <c r="K20" s="1293">
        <f>ROUND(-(H20-I20)+J20,1)</f>
        <v>44.2</v>
      </c>
      <c r="L20" s="1299">
        <f>ROUND('Звіт   4,5,6'!E92/1000,1)</f>
        <v>407.6</v>
      </c>
      <c r="M20" s="1299">
        <f>ROUND(('Звіт 10, 11,12,13,14'!R12+'Звіт 10, 11,12,13,14'!R15+'Звіт 10, 11,12,13,14'!R22+'Звіт 10, 11,12,13,14'!R25-'Звіт 10, 11,12,13,14'!G87)/1000,1)</f>
        <v>407.6</v>
      </c>
      <c r="N20" s="1300">
        <f>ROUND((L20-M20),1)</f>
        <v>0</v>
      </c>
      <c r="O20" s="1293">
        <f>ROUND((('Звіт 10, 11,12,13,14'!M12+'Звіт 10, 11,12,13,14'!M22+'Звіт 10, 11,12,13,14'!M15+'Звіт 10, 11,12,13,14'!M25)/1000),1)</f>
        <v>44.2</v>
      </c>
      <c r="P20" s="1300">
        <f>ROUND((K20-O20),1)</f>
        <v>0</v>
      </c>
      <c r="Q20" s="1057"/>
      <c r="R20" s="1057"/>
      <c r="S20" s="1057"/>
      <c r="T20" s="1057"/>
      <c r="U20" s="1057"/>
      <c r="V20" s="1057"/>
      <c r="W20" s="1057"/>
      <c r="X20" s="1057"/>
      <c r="Y20" s="1057"/>
      <c r="Z20" s="1057"/>
      <c r="AA20" s="1057"/>
      <c r="AB20" s="1057"/>
      <c r="AC20" s="1057"/>
      <c r="AD20" s="1057"/>
      <c r="AE20" s="1056"/>
      <c r="AF20" s="1056"/>
      <c r="AG20" s="1056"/>
      <c r="AH20" s="1056"/>
      <c r="AI20" s="1056"/>
      <c r="AJ20" s="1056"/>
      <c r="AK20" s="1056"/>
      <c r="AL20" s="1056"/>
      <c r="AM20" s="1056"/>
      <c r="AN20" s="1056"/>
      <c r="AO20" s="1056"/>
      <c r="AP20" s="1056"/>
      <c r="AQ20" s="1056"/>
      <c r="AR20" s="1056"/>
      <c r="AS20" s="1056"/>
      <c r="AT20" s="1056"/>
      <c r="AU20" s="1056"/>
      <c r="AV20" s="1056"/>
      <c r="AW20" s="1056"/>
      <c r="AX20" s="1056"/>
      <c r="AY20" s="1056"/>
      <c r="AZ20" s="1056"/>
      <c r="BA20" s="1056"/>
      <c r="BB20" s="1056"/>
      <c r="BC20" s="1056"/>
    </row>
    <row r="21" spans="1:55" ht="60.75" customHeight="1" x14ac:dyDescent="0.3">
      <c r="A21" s="223"/>
      <c r="B21" s="959" t="s">
        <v>1838</v>
      </c>
      <c r="C21" s="1819">
        <v>10</v>
      </c>
      <c r="D21" s="1846" t="s">
        <v>335</v>
      </c>
      <c r="E21" s="1819" t="s">
        <v>326</v>
      </c>
      <c r="F21" s="1820" t="s">
        <v>332</v>
      </c>
      <c r="G21" s="1821" t="str">
        <f>IF('Звіт   4,5,6'!E43=0,"Дані не введено",IF(AND(H22&gt;I22,J22&gt;0),"ПРАВДА",IF(AND(H22=0,I22=0,J22=0),"ПРАВДА","ПОМИЛКА")))</f>
        <v>ПРАВДА</v>
      </c>
      <c r="H21" s="1291" t="s">
        <v>483</v>
      </c>
      <c r="I21" s="1291" t="s">
        <v>484</v>
      </c>
      <c r="J21" s="1291" t="str">
        <f>L19</f>
        <v>Таблиця 5.1, р. 1.1.6 
гр. 4
Амортизація</v>
      </c>
      <c r="K21" s="1057"/>
      <c r="L21" s="1057"/>
      <c r="M21" s="1057"/>
      <c r="N21" s="1057"/>
      <c r="O21" s="1057"/>
      <c r="P21" s="1057"/>
      <c r="Q21" s="1057"/>
      <c r="R21" s="1057"/>
      <c r="S21" s="1057"/>
      <c r="T21" s="1057"/>
      <c r="U21" s="1057"/>
      <c r="V21" s="1057"/>
      <c r="W21" s="1057"/>
      <c r="X21" s="1057"/>
      <c r="Y21" s="1057"/>
      <c r="Z21" s="1057"/>
      <c r="AA21" s="1057"/>
      <c r="AB21" s="1057"/>
      <c r="AC21" s="1057"/>
      <c r="AD21" s="1057"/>
      <c r="AE21" s="1056"/>
      <c r="AF21" s="1056"/>
      <c r="AG21" s="1056"/>
      <c r="AH21" s="1056"/>
      <c r="AI21" s="1056"/>
      <c r="AJ21" s="1056"/>
      <c r="AK21" s="1056"/>
      <c r="AL21" s="1056"/>
      <c r="AM21" s="1056"/>
      <c r="AN21" s="1056"/>
      <c r="AO21" s="1056"/>
      <c r="AP21" s="1056"/>
      <c r="AQ21" s="1056"/>
      <c r="AR21" s="1056"/>
      <c r="AS21" s="1056"/>
      <c r="AT21" s="1056"/>
      <c r="AU21" s="1056"/>
      <c r="AV21" s="1056"/>
      <c r="AW21" s="1056"/>
      <c r="AX21" s="1056"/>
      <c r="AY21" s="1056"/>
      <c r="AZ21" s="1056"/>
      <c r="BA21" s="1056"/>
      <c r="BB21" s="1056"/>
      <c r="BC21" s="1056"/>
    </row>
    <row r="22" spans="1:55" ht="31.5" customHeight="1" x14ac:dyDescent="0.3">
      <c r="A22" s="223"/>
      <c r="B22" s="959"/>
      <c r="C22" s="1819"/>
      <c r="D22" s="1846"/>
      <c r="E22" s="1819"/>
      <c r="F22" s="1820"/>
      <c r="G22" s="1821"/>
      <c r="H22" s="1212">
        <f>'Звіт   9'!H14+'Звіт   9'!H18</f>
        <v>87512.2</v>
      </c>
      <c r="I22" s="1212">
        <f>-('Звіт   9'!H15+'Звіт   9'!H19)</f>
        <v>39104.1</v>
      </c>
      <c r="J22" s="1212">
        <f>ROUND(('Звіт   4,5,6'!E92/1000),1)</f>
        <v>407.6</v>
      </c>
      <c r="K22" s="1057"/>
      <c r="L22" s="1057"/>
      <c r="M22" s="1057"/>
      <c r="N22" s="1057"/>
      <c r="O22" s="1057"/>
      <c r="P22" s="1057"/>
      <c r="Q22" s="1057"/>
      <c r="R22" s="1057"/>
      <c r="S22" s="1057"/>
      <c r="T22" s="1057"/>
      <c r="U22" s="1057"/>
      <c r="V22" s="1057"/>
      <c r="W22" s="1057"/>
      <c r="X22" s="1057"/>
      <c r="Y22" s="1057"/>
      <c r="Z22" s="1057"/>
      <c r="AA22" s="1057"/>
      <c r="AB22" s="1057"/>
      <c r="AC22" s="1057"/>
      <c r="AD22" s="1057"/>
      <c r="AE22" s="1056"/>
      <c r="AF22" s="1056"/>
      <c r="AG22" s="1056"/>
      <c r="AH22" s="1056"/>
      <c r="AI22" s="1056"/>
      <c r="AJ22" s="1056"/>
      <c r="AK22" s="1056"/>
      <c r="AL22" s="1056"/>
      <c r="AM22" s="1056"/>
      <c r="AN22" s="1056"/>
      <c r="AO22" s="1056"/>
      <c r="AP22" s="1056"/>
      <c r="AQ22" s="1056"/>
      <c r="AR22" s="1056"/>
      <c r="AS22" s="1056"/>
      <c r="AT22" s="1056"/>
      <c r="AU22" s="1056"/>
      <c r="AV22" s="1056"/>
      <c r="AW22" s="1056"/>
      <c r="AX22" s="1056"/>
      <c r="AY22" s="1056"/>
      <c r="AZ22" s="1056"/>
      <c r="BA22" s="1056"/>
      <c r="BB22" s="1056"/>
      <c r="BC22" s="1056"/>
    </row>
    <row r="23" spans="1:55" s="465" customFormat="1" ht="25.5" customHeight="1" x14ac:dyDescent="0.3">
      <c r="A23" s="225"/>
      <c r="B23" s="1276"/>
      <c r="C23" s="1094"/>
      <c r="D23" s="1095" t="s">
        <v>336</v>
      </c>
      <c r="E23" s="1096"/>
      <c r="F23" s="1094"/>
      <c r="G23" s="1097"/>
      <c r="H23" s="1098"/>
      <c r="I23" s="1098"/>
      <c r="J23" s="1098"/>
      <c r="K23" s="1090"/>
      <c r="L23" s="1090"/>
      <c r="M23" s="1090"/>
      <c r="N23" s="1090"/>
      <c r="O23" s="1090"/>
      <c r="P23" s="1090"/>
      <c r="Q23" s="1090"/>
      <c r="R23" s="1090"/>
      <c r="S23" s="1090"/>
      <c r="T23" s="1090"/>
      <c r="U23" s="1090"/>
      <c r="V23" s="1090"/>
      <c r="W23" s="1090"/>
      <c r="X23" s="1090"/>
      <c r="Y23" s="1090"/>
      <c r="Z23" s="1090"/>
      <c r="AA23" s="1090"/>
      <c r="AB23" s="1090"/>
      <c r="AC23" s="1090"/>
      <c r="AD23" s="1090"/>
      <c r="AE23" s="1098"/>
      <c r="AF23" s="1098"/>
      <c r="AG23" s="1098"/>
      <c r="AH23" s="1098"/>
      <c r="AI23" s="1098"/>
      <c r="AJ23" s="1098"/>
      <c r="AK23" s="1098"/>
      <c r="AL23" s="1098"/>
      <c r="AM23" s="1098"/>
      <c r="AN23" s="1098"/>
      <c r="AO23" s="1098"/>
      <c r="AP23" s="1098"/>
      <c r="AQ23" s="1098"/>
      <c r="AR23" s="1098"/>
      <c r="AS23" s="1098"/>
      <c r="AT23" s="1098"/>
      <c r="AU23" s="1098"/>
      <c r="AV23" s="1098"/>
      <c r="AW23" s="1098"/>
      <c r="AX23" s="1098"/>
      <c r="AY23" s="1098"/>
      <c r="AZ23" s="1098"/>
      <c r="BA23" s="1098"/>
      <c r="BB23" s="1098"/>
      <c r="BC23" s="1098"/>
    </row>
    <row r="24" spans="1:55" s="465" customFormat="1" ht="92.25" customHeight="1" x14ac:dyDescent="0.35">
      <c r="A24" s="225"/>
      <c r="B24" s="1276"/>
      <c r="C24" s="1094"/>
      <c r="D24" s="1095"/>
      <c r="E24" s="1096"/>
      <c r="F24" s="1094"/>
      <c r="G24" s="1097"/>
      <c r="H24" s="1295" t="s">
        <v>1283</v>
      </c>
      <c r="I24" s="1282" t="s">
        <v>1371</v>
      </c>
      <c r="J24" s="1213" t="s">
        <v>1375</v>
      </c>
      <c r="K24" s="1213" t="s">
        <v>1374</v>
      </c>
      <c r="L24" s="1838" t="s">
        <v>1233</v>
      </c>
      <c r="M24" s="1838"/>
      <c r="N24" s="1838"/>
      <c r="O24" s="1838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8"/>
      <c r="AF24" s="1098"/>
      <c r="AG24" s="1098"/>
      <c r="AH24" s="1098"/>
      <c r="AI24" s="1098"/>
      <c r="AJ24" s="1098"/>
      <c r="AK24" s="1098"/>
      <c r="AL24" s="1098"/>
      <c r="AM24" s="1098"/>
      <c r="AN24" s="1098"/>
      <c r="AO24" s="1098"/>
      <c r="AP24" s="1098"/>
      <c r="AQ24" s="1098"/>
      <c r="AR24" s="1098"/>
      <c r="AS24" s="1098"/>
      <c r="AT24" s="1098"/>
      <c r="AU24" s="1098"/>
      <c r="AV24" s="1098"/>
      <c r="AW24" s="1098"/>
      <c r="AX24" s="1098"/>
      <c r="AY24" s="1098"/>
      <c r="AZ24" s="1098"/>
      <c r="BA24" s="1098"/>
      <c r="BB24" s="1098"/>
      <c r="BC24" s="1098"/>
    </row>
    <row r="25" spans="1:55" ht="100.5" customHeight="1" x14ac:dyDescent="0.3">
      <c r="A25" s="223"/>
      <c r="B25" s="959" t="s">
        <v>1839</v>
      </c>
      <c r="C25" s="1213">
        <v>11</v>
      </c>
      <c r="D25" s="1219" t="s">
        <v>1794</v>
      </c>
      <c r="E25" s="1213" t="s">
        <v>326</v>
      </c>
      <c r="F25" s="1312" t="s">
        <v>327</v>
      </c>
      <c r="G25" s="1312" t="str">
        <f>IF('Звіт   4,5,6'!E43=0,"Дані не введено",IF(('Звіт 1,2,3'!I19+'Звіт 1,2,3'!K19)/1000=0,"ПОМИЛКА",IF(OR(J25="ПОМИЛКА",O25="ПОМИЛКА",K25="ПОМИЛКА",I25="ПОМИЛКА",H25&lt;=0),"ПОМИЛКА","ПРАВДА")))</f>
        <v>ПРАВДА</v>
      </c>
      <c r="H25" s="1291">
        <f>'Звіт 1,2,3'!H19/1000</f>
        <v>50956.02</v>
      </c>
      <c r="I25" s="1312" t="str">
        <f>IF('Звіт   4,5,6'!E43=0,"Дані не введено",IF(('Звіт 1,2,3'!I19+'Звіт 1,2,3'!K19)/1000=0,"ПОМИЛКА","ПРАВДА"))</f>
        <v>ПРАВДА</v>
      </c>
      <c r="J25" s="1312" t="str">
        <f>'Звіт 1,2,3'!Z19</f>
        <v>ПРАВДА</v>
      </c>
      <c r="K25" s="1312" t="str">
        <f>'Звіт 1,2,3'!AF19</f>
        <v>ПРАВДА</v>
      </c>
      <c r="L25" s="1099">
        <f>COUNTIF('Звіт 1,2,3'!F71:R83,"&lt;0")</f>
        <v>0</v>
      </c>
      <c r="M25" s="1099">
        <f>COUNTIF('Звіт 1,2,3'!I55:I59,"&lt;0")</f>
        <v>0</v>
      </c>
      <c r="N25" s="1099">
        <f>COUNTIF('Звіт 1,2,3'!F19:S47,"&lt;0")</f>
        <v>0</v>
      </c>
      <c r="O25" s="1006" t="str">
        <f>IF('Звіт   4,5,6'!E43=0,"Дані не введено",IF(OR(N25&gt;=1,L25&gt;=1,M25&gt;=1),"ПОМИЛКА","ПРАВДА"))</f>
        <v>ПРАВДА</v>
      </c>
      <c r="P25" s="1057"/>
      <c r="Q25" s="1057"/>
      <c r="R25" s="1057"/>
      <c r="S25" s="1057"/>
      <c r="T25" s="1057"/>
      <c r="U25" s="1057"/>
      <c r="V25" s="1057"/>
      <c r="W25" s="1057"/>
      <c r="X25" s="1057"/>
      <c r="Y25" s="1057"/>
      <c r="Z25" s="1057"/>
      <c r="AA25" s="1057"/>
      <c r="AB25" s="1057"/>
      <c r="AC25" s="1057"/>
      <c r="AD25" s="1057"/>
      <c r="AE25" s="1056"/>
      <c r="AF25" s="1056"/>
      <c r="AG25" s="1056"/>
      <c r="AH25" s="1056"/>
      <c r="AI25" s="1056"/>
      <c r="AJ25" s="1056"/>
      <c r="AK25" s="1056"/>
      <c r="AL25" s="1056"/>
      <c r="AM25" s="1056"/>
      <c r="AN25" s="1056"/>
      <c r="AO25" s="1056"/>
      <c r="AP25" s="1056"/>
      <c r="AQ25" s="1056"/>
      <c r="AR25" s="1056"/>
      <c r="AS25" s="1056"/>
      <c r="AT25" s="1056"/>
      <c r="AU25" s="1056"/>
      <c r="AV25" s="1056"/>
      <c r="AW25" s="1056"/>
      <c r="AX25" s="1056"/>
      <c r="AY25" s="1056"/>
      <c r="AZ25" s="1056"/>
      <c r="BA25" s="1056"/>
      <c r="BB25" s="1056"/>
      <c r="BC25" s="1056"/>
    </row>
    <row r="26" spans="1:55" ht="93.75" x14ac:dyDescent="0.3">
      <c r="A26" s="223"/>
      <c r="B26" s="959" t="s">
        <v>1840</v>
      </c>
      <c r="C26" s="1819">
        <v>12</v>
      </c>
      <c r="D26" s="1856" t="s">
        <v>1795</v>
      </c>
      <c r="E26" s="1819" t="s">
        <v>326</v>
      </c>
      <c r="F26" s="1819" t="s">
        <v>332</v>
      </c>
      <c r="G26" s="1821" t="str">
        <f>IF('Звіт   4,5,6'!E43=0,"Дані не введено",IF(AND(I27&gt;0,H27&lt;I27),"ПОМИЛКА",IF(H27/IF(I27=0,1,I27)&gt;1.2,"ПОМИЛКА",IF(AND(L27&gt;0,K27&lt;L27),"ПОМИЛКА",IF(K27/IF(L27=0,1,L27)&gt;1.2,"ПОМИЛКА",IF(AND(O27&gt;0,N27&lt;O27),"ПОМИЛКА",IF(N27/IF(O27=0,1,O27)&gt;1.2,"ПОМИЛКА","ПРАВДА")))))))</f>
        <v>ПРАВДА</v>
      </c>
      <c r="H26" s="1212" t="s">
        <v>1099</v>
      </c>
      <c r="I26" s="1212" t="s">
        <v>487</v>
      </c>
      <c r="J26" s="1313" t="s">
        <v>1234</v>
      </c>
      <c r="K26" s="1212" t="s">
        <v>1095</v>
      </c>
      <c r="L26" s="1212" t="s">
        <v>488</v>
      </c>
      <c r="M26" s="1313" t="s">
        <v>1234</v>
      </c>
      <c r="N26" s="1212" t="s">
        <v>1094</v>
      </c>
      <c r="O26" s="1228" t="s">
        <v>1284</v>
      </c>
      <c r="P26" s="1313" t="s">
        <v>1234</v>
      </c>
      <c r="Q26" s="1057"/>
      <c r="R26" s="1057"/>
      <c r="S26" s="1057"/>
      <c r="T26" s="1057"/>
      <c r="U26" s="1057"/>
      <c r="V26" s="1057"/>
      <c r="W26" s="1057"/>
      <c r="X26" s="1057"/>
      <c r="Y26" s="1057"/>
      <c r="Z26" s="1057"/>
      <c r="AA26" s="1057"/>
      <c r="AB26" s="1057"/>
      <c r="AC26" s="1057"/>
      <c r="AD26" s="1057"/>
      <c r="AE26" s="1056"/>
      <c r="AF26" s="1056"/>
      <c r="AG26" s="1056"/>
      <c r="AH26" s="1056"/>
      <c r="AI26" s="1056"/>
      <c r="AJ26" s="1056"/>
      <c r="AK26" s="1056"/>
      <c r="AL26" s="1056"/>
      <c r="AM26" s="1056"/>
      <c r="AN26" s="1056"/>
      <c r="AO26" s="1056"/>
      <c r="AP26" s="1056"/>
      <c r="AQ26" s="1056"/>
      <c r="AR26" s="1056"/>
      <c r="AS26" s="1056"/>
      <c r="AT26" s="1056"/>
      <c r="AU26" s="1056"/>
      <c r="AV26" s="1056"/>
      <c r="AW26" s="1056"/>
      <c r="AX26" s="1056"/>
      <c r="AY26" s="1056"/>
      <c r="AZ26" s="1056"/>
      <c r="BA26" s="1056"/>
      <c r="BB26" s="1056"/>
      <c r="BC26" s="1056"/>
    </row>
    <row r="27" spans="1:55" ht="36.75" customHeight="1" x14ac:dyDescent="0.3">
      <c r="A27" s="223"/>
      <c r="B27" s="959"/>
      <c r="C27" s="1819"/>
      <c r="D27" s="1856"/>
      <c r="E27" s="1819"/>
      <c r="F27" s="1819"/>
      <c r="G27" s="1821"/>
      <c r="H27" s="1295">
        <f>ROUND(('Звіт 1,2,3'!J19/1000),1)</f>
        <v>11614.5</v>
      </c>
      <c r="I27" s="1295">
        <f>ROUND((('Звіт 1,2,3'!J29+'Звіт 1,2,3'!J71)/1000),1)</f>
        <v>11614.5</v>
      </c>
      <c r="J27" s="1271">
        <f>H27*100/I27</f>
        <v>100</v>
      </c>
      <c r="K27" s="1295">
        <f>ROUND(('Звіт 1,2,3'!L19/1000),1)</f>
        <v>0</v>
      </c>
      <c r="L27" s="1295">
        <f>ROUND((('Звіт 1,2,3'!L29+'Звіт 1,2,3'!L71)/1000),1)</f>
        <v>0</v>
      </c>
      <c r="M27" s="1271" t="e">
        <f>K27*100/L27</f>
        <v>#DIV/0!</v>
      </c>
      <c r="N27" s="1295">
        <f>ROUND(('Звіт 1,2,3'!P19/1000),1)</f>
        <v>3904.1</v>
      </c>
      <c r="O27" s="1316">
        <f>ROUND((('Звіт 1,2,3'!P29+'Звіт 1,2,3'!N71+'Звіт   4,5,6'!H18)/1000),1)</f>
        <v>3904.1</v>
      </c>
      <c r="P27" s="1271">
        <f>N27*100/O27</f>
        <v>100</v>
      </c>
      <c r="Q27" s="1057"/>
      <c r="R27" s="1057"/>
      <c r="S27" s="1057"/>
      <c r="T27" s="1057"/>
      <c r="U27" s="1057"/>
      <c r="V27" s="1057"/>
      <c r="W27" s="1057"/>
      <c r="X27" s="1057"/>
      <c r="Y27" s="1057"/>
      <c r="Z27" s="1057"/>
      <c r="AA27" s="1057"/>
      <c r="AB27" s="1057"/>
      <c r="AC27" s="1057"/>
      <c r="AD27" s="1057"/>
      <c r="AE27" s="1056"/>
      <c r="AF27" s="1056"/>
      <c r="AG27" s="1056"/>
      <c r="AH27" s="1056"/>
      <c r="AI27" s="1056"/>
      <c r="AJ27" s="1056"/>
      <c r="AK27" s="1056"/>
      <c r="AL27" s="1056"/>
      <c r="AM27" s="1056"/>
      <c r="AN27" s="1056"/>
      <c r="AO27" s="1056"/>
      <c r="AP27" s="1056"/>
      <c r="AQ27" s="1056"/>
      <c r="AR27" s="1056"/>
      <c r="AS27" s="1056"/>
      <c r="AT27" s="1056"/>
      <c r="AU27" s="1056"/>
      <c r="AV27" s="1056"/>
      <c r="AW27" s="1056"/>
      <c r="AX27" s="1056"/>
      <c r="AY27" s="1056"/>
      <c r="AZ27" s="1056"/>
      <c r="BA27" s="1056"/>
      <c r="BB27" s="1056"/>
      <c r="BC27" s="1056"/>
    </row>
    <row r="28" spans="1:55" ht="75" x14ac:dyDescent="0.3">
      <c r="A28" s="223"/>
      <c r="B28" s="959" t="s">
        <v>1841</v>
      </c>
      <c r="C28" s="1819">
        <v>13</v>
      </c>
      <c r="D28" s="1856" t="s">
        <v>1232</v>
      </c>
      <c r="E28" s="1819" t="s">
        <v>326</v>
      </c>
      <c r="F28" s="1820" t="s">
        <v>332</v>
      </c>
      <c r="G28" s="1821" t="str">
        <f>IF('Звіт   4,5,6'!E43=0,"Дані не введено",IF(-(J29+M29+P29)&lt;=Q29,"ПРАВДА",IF(AND(J29&gt;=0,M29&gt;=0,P29&gt;=0),"ПРАВДА","ПОМИЛКА")))</f>
        <v>ПРАВДА</v>
      </c>
      <c r="H28" s="1212" t="s">
        <v>489</v>
      </c>
      <c r="I28" s="1212" t="s">
        <v>491</v>
      </c>
      <c r="J28" s="1112" t="s">
        <v>456</v>
      </c>
      <c r="K28" s="1212" t="s">
        <v>490</v>
      </c>
      <c r="L28" s="1212" t="s">
        <v>492</v>
      </c>
      <c r="M28" s="1112" t="s">
        <v>456</v>
      </c>
      <c r="N28" s="1105" t="s">
        <v>1230</v>
      </c>
      <c r="O28" s="1105" t="s">
        <v>1231</v>
      </c>
      <c r="P28" s="1112" t="s">
        <v>456</v>
      </c>
      <c r="Q28" s="1105" t="s">
        <v>1243</v>
      </c>
      <c r="R28" s="1057"/>
      <c r="S28" s="1057"/>
      <c r="T28" s="1057"/>
      <c r="U28" s="1057"/>
      <c r="V28" s="1057"/>
      <c r="W28" s="1057"/>
      <c r="X28" s="1057"/>
      <c r="Y28" s="1057"/>
      <c r="Z28" s="1057"/>
      <c r="AA28" s="1057"/>
      <c r="AB28" s="1057"/>
      <c r="AC28" s="1057"/>
      <c r="AD28" s="1057"/>
      <c r="AE28" s="1056"/>
      <c r="AF28" s="1056"/>
      <c r="AG28" s="1056"/>
      <c r="AH28" s="1056"/>
      <c r="AI28" s="1056"/>
      <c r="AJ28" s="1056"/>
      <c r="AK28" s="1056"/>
      <c r="AL28" s="1056"/>
      <c r="AM28" s="1056"/>
      <c r="AN28" s="1056"/>
      <c r="AO28" s="1056"/>
      <c r="AP28" s="1056"/>
      <c r="AQ28" s="1056"/>
      <c r="AR28" s="1056"/>
      <c r="AS28" s="1056"/>
      <c r="AT28" s="1056"/>
      <c r="AU28" s="1056"/>
      <c r="AV28" s="1056"/>
      <c r="AW28" s="1056"/>
      <c r="AX28" s="1056"/>
      <c r="AY28" s="1056"/>
      <c r="AZ28" s="1056"/>
      <c r="BA28" s="1056"/>
      <c r="BB28" s="1056"/>
      <c r="BC28" s="1056"/>
    </row>
    <row r="29" spans="1:55" ht="30" customHeight="1" x14ac:dyDescent="0.3">
      <c r="A29" s="223"/>
      <c r="B29" s="959"/>
      <c r="C29" s="1819"/>
      <c r="D29" s="1856"/>
      <c r="E29" s="1819"/>
      <c r="F29" s="1820"/>
      <c r="G29" s="1821"/>
      <c r="H29" s="1295">
        <f>ROUND(('Звіт 1,2,3'!I19/1000),1)</f>
        <v>0</v>
      </c>
      <c r="I29" s="1295">
        <f>ROUND((('Звіт 1,2,3'!I29+'Звіт 1,2,3'!I71)/1000),1)</f>
        <v>0</v>
      </c>
      <c r="J29" s="1271">
        <f>ROUND((H29-I29),1)</f>
        <v>0</v>
      </c>
      <c r="K29" s="1295">
        <f>ROUND(('Звіт 1,2,3'!K19/1000),1)</f>
        <v>5331.3</v>
      </c>
      <c r="L29" s="1295">
        <f>ROUND((('Звіт 1,2,3'!K29+'Звіт 1,2,3'!K71)/1000),1)</f>
        <v>0</v>
      </c>
      <c r="M29" s="1271">
        <f>ROUND((K29-L29),1)</f>
        <v>5331.3</v>
      </c>
      <c r="N29" s="1267">
        <f>ROUND(('Звіт 1,2,3'!M19/1000),1)</f>
        <v>0</v>
      </c>
      <c r="O29" s="1267">
        <f>ROUND((('Звіт 1,2,3'!M29+'Звіт 1,2,3'!M71)/1000),1)</f>
        <v>0</v>
      </c>
      <c r="P29" s="1271">
        <f>ROUND((N29-O29),1)</f>
        <v>0</v>
      </c>
      <c r="Q29" s="1267">
        <f>ROUND(('Звіт   9'!H78),1)</f>
        <v>0</v>
      </c>
      <c r="R29" s="1057"/>
      <c r="S29" s="1057"/>
      <c r="T29" s="1057"/>
      <c r="U29" s="1057"/>
      <c r="V29" s="1057"/>
      <c r="W29" s="1057"/>
      <c r="X29" s="1057"/>
      <c r="Y29" s="1057"/>
      <c r="Z29" s="1057"/>
      <c r="AA29" s="1057"/>
      <c r="AB29" s="1057"/>
      <c r="AC29" s="1057"/>
      <c r="AD29" s="1057"/>
      <c r="AE29" s="1056"/>
      <c r="AF29" s="1056"/>
      <c r="AG29" s="1056"/>
      <c r="AH29" s="1056"/>
      <c r="AI29" s="1056"/>
      <c r="AJ29" s="1056"/>
      <c r="AK29" s="1056"/>
      <c r="AL29" s="1056"/>
      <c r="AM29" s="1056"/>
      <c r="AN29" s="1056"/>
      <c r="AO29" s="1056"/>
      <c r="AP29" s="1056"/>
      <c r="AQ29" s="1056"/>
      <c r="AR29" s="1056"/>
      <c r="AS29" s="1056"/>
      <c r="AT29" s="1056"/>
      <c r="AU29" s="1056"/>
      <c r="AV29" s="1056"/>
      <c r="AW29" s="1056"/>
      <c r="AX29" s="1056"/>
      <c r="AY29" s="1056"/>
      <c r="AZ29" s="1056"/>
      <c r="BA29" s="1056"/>
      <c r="BB29" s="1056"/>
      <c r="BC29" s="1056"/>
    </row>
    <row r="30" spans="1:55" s="465" customFormat="1" ht="73.5" customHeight="1" x14ac:dyDescent="0.3">
      <c r="A30" s="225"/>
      <c r="B30" s="1276"/>
      <c r="C30" s="1250"/>
      <c r="D30" s="1101"/>
      <c r="E30" s="1250"/>
      <c r="F30" s="1250"/>
      <c r="G30" s="1168"/>
      <c r="H30" s="1249" t="s">
        <v>1285</v>
      </c>
      <c r="I30" s="1249" t="s">
        <v>1286</v>
      </c>
      <c r="J30" s="1098"/>
      <c r="K30" s="1080"/>
      <c r="L30" s="1080"/>
      <c r="M30" s="1080"/>
      <c r="N30" s="1080"/>
      <c r="O30" s="1080"/>
      <c r="P30" s="1080"/>
      <c r="Q30" s="1080"/>
      <c r="R30" s="1080"/>
      <c r="S30" s="1080"/>
      <c r="T30" s="1080"/>
      <c r="U30" s="1080"/>
      <c r="V30" s="1080"/>
      <c r="W30" s="1080"/>
      <c r="X30" s="1080"/>
      <c r="Y30" s="1080"/>
      <c r="Z30" s="1080"/>
      <c r="AA30" s="1080"/>
      <c r="AB30" s="1090"/>
      <c r="AC30" s="1090"/>
      <c r="AD30" s="1090"/>
      <c r="AE30" s="1098"/>
      <c r="AF30" s="1098"/>
      <c r="AG30" s="1098"/>
      <c r="AH30" s="1098"/>
      <c r="AI30" s="1098"/>
      <c r="AJ30" s="1098"/>
      <c r="AK30" s="1098"/>
      <c r="AL30" s="1098"/>
      <c r="AM30" s="1098"/>
      <c r="AN30" s="1098"/>
      <c r="AO30" s="1098"/>
      <c r="AP30" s="1098"/>
      <c r="AQ30" s="1098"/>
      <c r="AR30" s="1098"/>
      <c r="AS30" s="1098"/>
      <c r="AT30" s="1098"/>
      <c r="AU30" s="1098"/>
      <c r="AV30" s="1098"/>
      <c r="AW30" s="1098"/>
      <c r="AX30" s="1098"/>
      <c r="AY30" s="1098"/>
      <c r="AZ30" s="1098"/>
      <c r="BA30" s="1098"/>
      <c r="BB30" s="1098"/>
      <c r="BC30" s="1098"/>
    </row>
    <row r="31" spans="1:55" ht="69.75" customHeight="1" x14ac:dyDescent="0.3">
      <c r="A31" s="223"/>
      <c r="B31" s="959" t="s">
        <v>1842</v>
      </c>
      <c r="C31" s="1314">
        <v>14</v>
      </c>
      <c r="D31" s="1315" t="s">
        <v>1392</v>
      </c>
      <c r="E31" s="1128" t="s">
        <v>1376</v>
      </c>
      <c r="F31" s="1128" t="s">
        <v>1377</v>
      </c>
      <c r="G31" s="1214" t="str">
        <f>IF('Звіт   4,5,6'!E43=0,"Дані не введено",IF(AND(H31&gt;0,I31&gt;0),"ПРАВДА",IF(AND(H31=0,I31=0),"ПРАВДА","Увага")))</f>
        <v>ПРАВДА</v>
      </c>
      <c r="H31" s="1317">
        <f>ROUND(('Звіт   9'!H42),1)</f>
        <v>0</v>
      </c>
      <c r="I31" s="1317">
        <f>ROUND(('Звіт 1,2,3'!X19/1000),1)</f>
        <v>0</v>
      </c>
      <c r="J31" s="1056"/>
      <c r="K31" s="1057"/>
      <c r="L31" s="1057"/>
      <c r="M31" s="1057"/>
      <c r="N31" s="1215" t="str">
        <f>IF('Звіт   4,5,6'!E43=0,"Дані не введено",IF(AND(H34&gt;=N34/1.2-1,H34&lt;=N34+1),"ПРАВДА","ПОМИЛКА"))</f>
        <v>ПРАВДА</v>
      </c>
      <c r="O31" s="1057"/>
      <c r="P31" s="1057"/>
      <c r="Q31" s="1057"/>
      <c r="R31" s="1057"/>
      <c r="S31" s="1057"/>
      <c r="T31" s="1057"/>
      <c r="U31" s="1057"/>
      <c r="V31" s="1215" t="str">
        <f>IF('Звіт   4,5,6'!E43=0,"Дані не введено",IF(AND(O34&gt;=V34/1.2-1,O34&lt;=V34+1,Q34="ПРАВДА"),"ПРАВДА","ПОМИЛКА"))</f>
        <v>ПРАВДА</v>
      </c>
      <c r="W31" s="1057"/>
      <c r="X31" s="1057"/>
      <c r="Y31" s="1057"/>
      <c r="Z31" s="1057"/>
      <c r="AA31" s="1057"/>
      <c r="AB31" s="1057"/>
      <c r="AC31" s="1057"/>
      <c r="AD31" s="1057"/>
      <c r="AE31" s="1056"/>
      <c r="AF31" s="1056"/>
      <c r="AG31" s="1056"/>
      <c r="AH31" s="1056"/>
      <c r="AI31" s="1056"/>
      <c r="AJ31" s="1056"/>
      <c r="AK31" s="1056"/>
      <c r="AL31" s="1056"/>
      <c r="AM31" s="1056"/>
      <c r="AN31" s="1056"/>
      <c r="AO31" s="1056"/>
      <c r="AP31" s="1056"/>
      <c r="AQ31" s="1056"/>
      <c r="AR31" s="1056"/>
      <c r="AS31" s="1056"/>
      <c r="AT31" s="1056"/>
      <c r="AU31" s="1056"/>
      <c r="AV31" s="1056"/>
      <c r="AW31" s="1056"/>
      <c r="AX31" s="1056"/>
      <c r="AY31" s="1056"/>
      <c r="AZ31" s="1056"/>
      <c r="BA31" s="1056"/>
      <c r="BB31" s="1056"/>
      <c r="BC31" s="1056"/>
    </row>
    <row r="32" spans="1:55" s="111" customFormat="1" ht="42.75" customHeight="1" x14ac:dyDescent="0.3">
      <c r="A32" s="224"/>
      <c r="B32" s="1277"/>
      <c r="C32" s="1102"/>
      <c r="D32" s="1101"/>
      <c r="E32" s="1086"/>
      <c r="F32" s="1103"/>
      <c r="G32" s="1051"/>
      <c r="H32" s="1828" t="s">
        <v>1280</v>
      </c>
      <c r="I32" s="1828"/>
      <c r="J32" s="1828"/>
      <c r="K32" s="1828"/>
      <c r="L32" s="1828"/>
      <c r="M32" s="1828"/>
      <c r="N32" s="1828"/>
      <c r="O32" s="1830" t="s">
        <v>1280</v>
      </c>
      <c r="P32" s="1830"/>
      <c r="Q32" s="1830"/>
      <c r="R32" s="1830"/>
      <c r="S32" s="1830"/>
      <c r="T32" s="1830"/>
      <c r="U32" s="1830"/>
      <c r="V32" s="1830"/>
      <c r="W32" s="1839"/>
      <c r="X32" s="1080"/>
      <c r="Y32" s="1080"/>
      <c r="Z32" s="1080"/>
      <c r="AA32" s="1080"/>
      <c r="AB32" s="1080"/>
      <c r="AC32" s="1080"/>
      <c r="AD32" s="1080"/>
      <c r="AE32" s="1104"/>
      <c r="AF32" s="1104"/>
      <c r="AG32" s="1104"/>
      <c r="AH32" s="1104"/>
      <c r="AI32" s="1104"/>
      <c r="AJ32" s="1104"/>
      <c r="AK32" s="1104"/>
      <c r="AL32" s="1104"/>
      <c r="AM32" s="1104"/>
      <c r="AN32" s="1104"/>
      <c r="AO32" s="1104"/>
      <c r="AP32" s="1104"/>
      <c r="AQ32" s="1104"/>
      <c r="AR32" s="1104"/>
      <c r="AS32" s="1104"/>
      <c r="AT32" s="1104"/>
      <c r="AU32" s="1104"/>
      <c r="AV32" s="1104"/>
      <c r="AW32" s="1104"/>
      <c r="AX32" s="1104"/>
      <c r="AY32" s="1104"/>
      <c r="AZ32" s="1104"/>
      <c r="BA32" s="1104"/>
      <c r="BB32" s="1104"/>
      <c r="BC32" s="1104"/>
    </row>
    <row r="33" spans="1:55" s="939" customFormat="1" ht="171" customHeight="1" x14ac:dyDescent="0.3">
      <c r="A33" s="223"/>
      <c r="B33" s="959" t="s">
        <v>1843</v>
      </c>
      <c r="C33" s="1880">
        <v>15</v>
      </c>
      <c r="D33" s="1881" t="s">
        <v>1253</v>
      </c>
      <c r="E33" s="1819" t="s">
        <v>326</v>
      </c>
      <c r="F33" s="1820" t="s">
        <v>332</v>
      </c>
      <c r="G33" s="1876" t="str">
        <f>IF('Звіт   4,5,6'!E43=0,"Дані не введено",IF(AND(N31="ПРАВДА",V31="ПРАВДА"),"ПРАВДА","ПОМИЛКА"))</f>
        <v>ПРАВДА</v>
      </c>
      <c r="H33" s="1212" t="s">
        <v>1254</v>
      </c>
      <c r="I33" s="1228" t="s">
        <v>1255</v>
      </c>
      <c r="J33" s="1228" t="s">
        <v>1304</v>
      </c>
      <c r="K33" s="1228" t="s">
        <v>1305</v>
      </c>
      <c r="L33" s="1228" t="s">
        <v>1306</v>
      </c>
      <c r="M33" s="1228" t="s">
        <v>1307</v>
      </c>
      <c r="N33" s="1228" t="s">
        <v>1811</v>
      </c>
      <c r="O33" s="1393" t="s">
        <v>1346</v>
      </c>
      <c r="P33" s="1394" t="s">
        <v>1345</v>
      </c>
      <c r="Q33" s="1393" t="s">
        <v>1356</v>
      </c>
      <c r="R33" s="1393" t="s">
        <v>1807</v>
      </c>
      <c r="S33" s="1393" t="s">
        <v>1808</v>
      </c>
      <c r="T33" s="1393" t="s">
        <v>1809</v>
      </c>
      <c r="U33" s="1393" t="s">
        <v>1810</v>
      </c>
      <c r="V33" s="1395" t="s">
        <v>1815</v>
      </c>
      <c r="W33" s="1839"/>
      <c r="X33" s="1057"/>
      <c r="Y33" s="1057"/>
      <c r="Z33" s="1057"/>
      <c r="AA33" s="1057"/>
      <c r="AB33" s="1057"/>
      <c r="AC33" s="1057"/>
      <c r="AD33" s="1056"/>
      <c r="AE33" s="1056"/>
      <c r="AF33" s="1056"/>
      <c r="AG33" s="1056"/>
      <c r="AH33" s="1056"/>
      <c r="AI33" s="1056"/>
      <c r="AJ33" s="1056"/>
      <c r="AK33" s="1056"/>
      <c r="AL33" s="1056"/>
      <c r="AM33" s="1056"/>
      <c r="AN33" s="1056"/>
      <c r="AO33" s="1056"/>
      <c r="AP33" s="1056"/>
      <c r="AQ33" s="1056"/>
      <c r="AR33" s="1056"/>
      <c r="AS33" s="1056"/>
      <c r="AT33" s="1056"/>
      <c r="AU33" s="1056"/>
      <c r="AV33" s="1056"/>
      <c r="AW33" s="1056"/>
      <c r="AX33" s="1056"/>
      <c r="AY33" s="1056"/>
      <c r="AZ33" s="1056"/>
      <c r="BA33" s="1056"/>
      <c r="BB33" s="1056"/>
      <c r="BC33" s="1056"/>
    </row>
    <row r="34" spans="1:55" s="939" customFormat="1" ht="42.75" customHeight="1" x14ac:dyDescent="0.3">
      <c r="A34" s="223"/>
      <c r="B34" s="959"/>
      <c r="C34" s="1880"/>
      <c r="D34" s="1881"/>
      <c r="E34" s="1819"/>
      <c r="F34" s="1820"/>
      <c r="G34" s="1821"/>
      <c r="H34" s="1295">
        <f>ROUND((('Звіт   4,5,6'!H11-'Звіт   4,5,6'!H12)/1000),1)</f>
        <v>0</v>
      </c>
      <c r="I34" s="1249">
        <f>ROUND((('Звіт 1,2,3'!I56+'Звіт 1,2,3'!I57)/1000),1)</f>
        <v>0</v>
      </c>
      <c r="J34" s="1249">
        <f>ROUND(('Звіт   9'!H34),1)</f>
        <v>0</v>
      </c>
      <c r="K34" s="1249">
        <f>ROUND(('Звіт   9'!K34),1)</f>
        <v>0</v>
      </c>
      <c r="L34" s="1249">
        <f>ROUND(('Звіт   9'!H94),1)</f>
        <v>0</v>
      </c>
      <c r="M34" s="1249">
        <f>ROUND(('Звіт   9'!K94),1)</f>
        <v>0</v>
      </c>
      <c r="N34" s="1249">
        <f>ROUND((I34-J34+K34+L34-M34),1)</f>
        <v>0</v>
      </c>
      <c r="O34" s="1396">
        <f>ROUND((('Звіт   4,5,6'!H20+'Звіт   4,5,6'!H21)/1000),1)</f>
        <v>0</v>
      </c>
      <c r="P34" s="1397">
        <f>ROUND((('Звіт 1,2,3'!I58+'Звіт 1,2,3'!J59)/1000),1)</f>
        <v>0</v>
      </c>
      <c r="Q34" s="1398" t="str">
        <f>IF('Звіт   4,5,6'!E43=0,"Дані не введено",IF(AX89="ПРАВДА","ПРАВДА","ПОМИЛКА"))</f>
        <v>ПРАВДА</v>
      </c>
      <c r="R34" s="1396">
        <f>ROUND((('Звіт   9'!H35+'Звіт   9'!H47)/1000),1)</f>
        <v>0</v>
      </c>
      <c r="S34" s="1396">
        <f>ROUND((('Звіт   9'!K35+'Звіт   9'!K47)/1000),1)</f>
        <v>0</v>
      </c>
      <c r="T34" s="1396">
        <f>ROUND(('Звіт   9'!H95),1)</f>
        <v>0</v>
      </c>
      <c r="U34" s="1396">
        <f>ROUND(('Звіт   9'!K95),1)</f>
        <v>0</v>
      </c>
      <c r="V34" s="1396">
        <f>ROUND((P34-R34+S34+T34-U34),1)</f>
        <v>0</v>
      </c>
      <c r="W34" s="1584"/>
      <c r="X34" s="1057"/>
      <c r="Y34" s="1057"/>
      <c r="Z34" s="1057"/>
      <c r="AA34" s="1057"/>
      <c r="AB34" s="1057"/>
      <c r="AC34" s="1057"/>
      <c r="AD34" s="1056"/>
      <c r="AE34" s="1056"/>
      <c r="AF34" s="1056"/>
      <c r="AG34" s="1056"/>
      <c r="AH34" s="1056"/>
      <c r="AI34" s="1056"/>
      <c r="AJ34" s="1056"/>
      <c r="AK34" s="1056"/>
      <c r="AL34" s="1056"/>
      <c r="AM34" s="1056"/>
      <c r="AN34" s="1056"/>
      <c r="AO34" s="1056"/>
      <c r="AP34" s="1056"/>
      <c r="AQ34" s="1056"/>
      <c r="AR34" s="1056"/>
      <c r="AS34" s="1056"/>
      <c r="AT34" s="1056"/>
      <c r="AU34" s="1056"/>
      <c r="AV34" s="1056"/>
      <c r="AW34" s="1056"/>
      <c r="AX34" s="1056"/>
      <c r="AY34" s="1056"/>
      <c r="AZ34" s="1056"/>
      <c r="BA34" s="1056"/>
      <c r="BB34" s="1056"/>
      <c r="BC34" s="1056"/>
    </row>
    <row r="35" spans="1:55" ht="43.5" customHeight="1" x14ac:dyDescent="0.35">
      <c r="A35" s="223"/>
      <c r="B35" s="959"/>
      <c r="C35" s="1076"/>
      <c r="D35" s="1106" t="s">
        <v>337</v>
      </c>
      <c r="E35" s="1096"/>
      <c r="F35" s="1076"/>
      <c r="G35" s="1097"/>
      <c r="H35" s="1056"/>
      <c r="I35" s="1107"/>
      <c r="J35" s="1107"/>
      <c r="K35" s="1108"/>
      <c r="L35" s="1108"/>
      <c r="M35" s="1056"/>
      <c r="N35" s="1109">
        <f>N34/1.2</f>
        <v>0</v>
      </c>
      <c r="O35" s="1109"/>
      <c r="P35" s="1056"/>
      <c r="Q35" s="1056"/>
      <c r="R35" s="1056"/>
      <c r="S35" s="1056"/>
      <c r="T35" s="1056"/>
      <c r="U35" s="1110"/>
      <c r="V35" s="1109">
        <f>V34/1.2</f>
        <v>0</v>
      </c>
      <c r="W35" s="1110"/>
      <c r="X35" s="1057"/>
      <c r="Y35" s="1057"/>
      <c r="Z35" s="1057"/>
      <c r="AA35" s="1057"/>
      <c r="AB35" s="1057"/>
      <c r="AC35" s="1057"/>
      <c r="AD35" s="1057"/>
      <c r="AE35" s="1056"/>
      <c r="AF35" s="1056"/>
      <c r="AG35" s="1056"/>
      <c r="AH35" s="1056"/>
      <c r="AI35" s="1056"/>
      <c r="AJ35" s="1056"/>
      <c r="AK35" s="1056"/>
      <c r="AL35" s="1056"/>
      <c r="AM35" s="1056"/>
      <c r="AN35" s="1056"/>
      <c r="AO35" s="1056"/>
      <c r="AP35" s="1056"/>
      <c r="AQ35" s="1056"/>
      <c r="AR35" s="1056"/>
      <c r="AS35" s="1056"/>
      <c r="AT35" s="1056"/>
      <c r="AU35" s="1056"/>
      <c r="AV35" s="1056"/>
      <c r="AW35" s="1056"/>
      <c r="AX35" s="1056"/>
      <c r="AY35" s="1056"/>
      <c r="AZ35" s="1056"/>
      <c r="BA35" s="1056"/>
      <c r="BB35" s="1056"/>
      <c r="BC35" s="1056"/>
    </row>
    <row r="36" spans="1:55" s="939" customFormat="1" ht="60" customHeight="1" x14ac:dyDescent="0.3">
      <c r="A36" s="223"/>
      <c r="B36" s="959"/>
      <c r="C36" s="1076"/>
      <c r="D36" s="1106"/>
      <c r="E36" s="1096"/>
      <c r="F36" s="1076"/>
      <c r="G36" s="1097"/>
      <c r="H36" s="1291" t="s">
        <v>1341</v>
      </c>
      <c r="I36" s="1318" t="s">
        <v>1340</v>
      </c>
      <c r="J36" s="1318" t="s">
        <v>1342</v>
      </c>
      <c r="K36" s="1837" t="s">
        <v>1339</v>
      </c>
      <c r="L36" s="1837"/>
      <c r="M36" s="1837"/>
      <c r="N36" s="1837"/>
      <c r="O36" s="1837"/>
      <c r="P36" s="1837"/>
      <c r="Q36" s="1829" t="s">
        <v>1343</v>
      </c>
      <c r="R36" s="1829"/>
      <c r="S36" s="1829"/>
      <c r="T36" s="1829"/>
      <c r="U36" s="1829"/>
      <c r="V36" s="1829"/>
      <c r="W36" s="1829"/>
      <c r="X36" s="1111"/>
      <c r="Y36" s="1057"/>
      <c r="Z36" s="1057"/>
      <c r="AA36" s="1057"/>
      <c r="AB36" s="1057"/>
      <c r="AC36" s="1057"/>
      <c r="AD36" s="1057"/>
      <c r="AE36" s="1056"/>
      <c r="AF36" s="1056"/>
      <c r="AG36" s="1056"/>
      <c r="AH36" s="1056"/>
      <c r="AI36" s="1056"/>
      <c r="AJ36" s="1056"/>
      <c r="AK36" s="1056"/>
      <c r="AL36" s="1056"/>
      <c r="AM36" s="1056"/>
      <c r="AN36" s="1056"/>
      <c r="AO36" s="1056"/>
      <c r="AP36" s="1056"/>
      <c r="AQ36" s="1056"/>
      <c r="AR36" s="1056"/>
      <c r="AS36" s="1056"/>
      <c r="AT36" s="1056"/>
      <c r="AU36" s="1056"/>
      <c r="AV36" s="1056"/>
      <c r="AW36" s="1056"/>
      <c r="AX36" s="1056"/>
      <c r="AY36" s="1056"/>
      <c r="AZ36" s="1056"/>
      <c r="BA36" s="1056"/>
      <c r="BB36" s="1056"/>
      <c r="BC36" s="1056"/>
    </row>
    <row r="37" spans="1:55" s="939" customFormat="1" ht="135.75" customHeight="1" x14ac:dyDescent="0.3">
      <c r="A37" s="223"/>
      <c r="B37" s="959" t="s">
        <v>1844</v>
      </c>
      <c r="C37" s="1815">
        <v>16</v>
      </c>
      <c r="D37" s="1856" t="s">
        <v>1813</v>
      </c>
      <c r="E37" s="1819" t="s">
        <v>326</v>
      </c>
      <c r="F37" s="1820" t="s">
        <v>327</v>
      </c>
      <c r="G37" s="1876" t="str">
        <f>IF('Звіт   4,5,6'!E43=0,"Дані не введено",IF(AND(H38&gt;0,I38&gt;=0,J38&lt;=0,P38="ПРАВДА",W38="ПРАВДА"),"ПРАВДА","ПОМИЛКА"))</f>
        <v>ПРАВДА</v>
      </c>
      <c r="H37" s="1212" t="s">
        <v>1259</v>
      </c>
      <c r="I37" s="1228" t="s">
        <v>1258</v>
      </c>
      <c r="J37" s="1228" t="s">
        <v>1263</v>
      </c>
      <c r="K37" s="1251" t="s">
        <v>1326</v>
      </c>
      <c r="L37" s="1228" t="s">
        <v>1337</v>
      </c>
      <c r="M37" s="1252" t="s">
        <v>1338</v>
      </c>
      <c r="N37" s="1228" t="s">
        <v>1368</v>
      </c>
      <c r="O37" s="1252" t="s">
        <v>1335</v>
      </c>
      <c r="P37" s="1228" t="s">
        <v>1369</v>
      </c>
      <c r="Q37" s="1228" t="s">
        <v>1379</v>
      </c>
      <c r="R37" s="1228" t="s">
        <v>1378</v>
      </c>
      <c r="S37" s="1228" t="s">
        <v>1336</v>
      </c>
      <c r="T37" s="1251" t="s">
        <v>1812</v>
      </c>
      <c r="U37" s="1228" t="s">
        <v>1260</v>
      </c>
      <c r="V37" s="1252" t="s">
        <v>1344</v>
      </c>
      <c r="W37" s="1319" t="s">
        <v>1325</v>
      </c>
      <c r="X37" s="1056"/>
      <c r="Y37" s="1057"/>
      <c r="Z37" s="1057"/>
      <c r="AA37" s="1057"/>
      <c r="AB37" s="1057"/>
      <c r="AC37" s="1057"/>
      <c r="AD37" s="1057"/>
      <c r="AE37" s="1056"/>
      <c r="AF37" s="1056"/>
      <c r="AG37" s="1056"/>
      <c r="AH37" s="1056"/>
      <c r="AI37" s="1056"/>
      <c r="AJ37" s="1056"/>
      <c r="AK37" s="1056"/>
      <c r="AL37" s="1056"/>
      <c r="AM37" s="1056"/>
      <c r="AN37" s="1056"/>
      <c r="AO37" s="1056"/>
      <c r="AP37" s="1056"/>
      <c r="AQ37" s="1056"/>
      <c r="AR37" s="1056"/>
      <c r="AS37" s="1056"/>
      <c r="AT37" s="1056"/>
      <c r="AU37" s="1056"/>
      <c r="AV37" s="1056"/>
      <c r="AW37" s="1056"/>
      <c r="AX37" s="1056"/>
      <c r="AY37" s="1056"/>
      <c r="AZ37" s="1056"/>
      <c r="BA37" s="1056"/>
      <c r="BB37" s="1056"/>
      <c r="BC37" s="1056"/>
    </row>
    <row r="38" spans="1:55" ht="37.5" customHeight="1" x14ac:dyDescent="0.3">
      <c r="A38" s="223"/>
      <c r="B38" s="959"/>
      <c r="C38" s="1815"/>
      <c r="D38" s="1856"/>
      <c r="E38" s="1819"/>
      <c r="F38" s="1820"/>
      <c r="G38" s="1876"/>
      <c r="H38" s="1081">
        <f>'Звіт   4,5,6'!H12/1000</f>
        <v>50956</v>
      </c>
      <c r="I38" s="1249">
        <f>ROUND((('Звіт   4,5,6'!H11-'Звіт   4,5,6'!H12)/1000),1)</f>
        <v>0</v>
      </c>
      <c r="J38" s="1249">
        <f>ROUND((('Звіт   4,5,6'!H14-'Звіт   4,5,6'!H15)/1000),1)</f>
        <v>0</v>
      </c>
      <c r="K38" s="1320">
        <f>ROUND((('Звіт   4,5,6'!H29)/1000),1)</f>
        <v>0</v>
      </c>
      <c r="L38" s="1320">
        <f>ROUND((('Звіт   4,5,6'!$E$96)/1000),1)</f>
        <v>0</v>
      </c>
      <c r="M38" s="1252">
        <f>ROUND((K38-L38),1)</f>
        <v>0</v>
      </c>
      <c r="N38" s="1249">
        <f>ROUND((('Звіт 1,2,3'!K59)/1000),1)</f>
        <v>0</v>
      </c>
      <c r="O38" s="1252">
        <f>ROUND((N38-M38),1)</f>
        <v>0</v>
      </c>
      <c r="P38" s="1214" t="str">
        <f>IF('Звіт   4,5,6'!E43=0,"Дані не введено",IF(AND(O38&gt;=0,K38&gt;=L38,P39=0),"ПРАВДА",IF(P39=1,"ПРАВДА","ПОМИЛКА")))</f>
        <v>ПРАВДА</v>
      </c>
      <c r="Q38" s="1249">
        <f>O38</f>
        <v>0</v>
      </c>
      <c r="R38" s="1249">
        <f>ROUND((('Звіт   4,5,6'!$H$22-'Звіт   4,5,6'!H23)/1000),1)</f>
        <v>21.2</v>
      </c>
      <c r="S38" s="1249">
        <f>ROUND((('Звіт 1,2,3'!L59+'Звіт 1,2,3'!M59)/1000),1)</f>
        <v>0</v>
      </c>
      <c r="T38" s="1320">
        <f>ROUND((R38-O38-S38),1)</f>
        <v>21.2</v>
      </c>
      <c r="U38" s="1249">
        <f>ROUND((('Звіт   4,5,6'!H8)/1000),1)</f>
        <v>50956</v>
      </c>
      <c r="V38" s="1320">
        <f>T38*100/U38</f>
        <v>0</v>
      </c>
      <c r="W38" s="1214" t="str">
        <f>IF('Звіт   4,5,6'!E43=0,"Дані не введено",IF(AND(V38&lt;=0.4,V38&gt;=0,W39=0,T38&gt;=0,P38="ПРАВДА"),"ПРАВДА",IF(AND(W39=1),"ПРАВДА","ПОМИЛКА")))</f>
        <v>ПРАВДА</v>
      </c>
      <c r="X38" s="1056"/>
      <c r="Y38" s="1057"/>
      <c r="Z38" s="1057"/>
      <c r="AA38" s="1057"/>
      <c r="AB38" s="1057"/>
      <c r="AC38" s="1057"/>
      <c r="AD38" s="1057"/>
      <c r="AE38" s="1056"/>
      <c r="AF38" s="1056"/>
      <c r="AG38" s="1056"/>
      <c r="AH38" s="1056"/>
      <c r="AI38" s="1056"/>
      <c r="AJ38" s="1056"/>
      <c r="AK38" s="1056"/>
      <c r="AL38" s="1056"/>
      <c r="AM38" s="1056"/>
      <c r="AN38" s="1056"/>
      <c r="AO38" s="1056"/>
      <c r="AP38" s="1056"/>
      <c r="AQ38" s="1056"/>
      <c r="AR38" s="1056"/>
      <c r="AS38" s="1056"/>
      <c r="AT38" s="1056"/>
      <c r="AU38" s="1056"/>
      <c r="AV38" s="1056"/>
      <c r="AW38" s="1056"/>
      <c r="AX38" s="1056"/>
      <c r="AY38" s="1056"/>
      <c r="AZ38" s="1056"/>
      <c r="BA38" s="1056"/>
      <c r="BB38" s="1056"/>
      <c r="BC38" s="1056"/>
    </row>
    <row r="39" spans="1:55" s="465" customFormat="1" ht="39" customHeight="1" x14ac:dyDescent="0.3">
      <c r="A39" s="225"/>
      <c r="B39" s="1276"/>
      <c r="C39" s="1250"/>
      <c r="D39" s="1101"/>
      <c r="E39" s="1086"/>
      <c r="F39" s="1086"/>
      <c r="G39" s="1051"/>
      <c r="H39" s="1088"/>
      <c r="I39" s="1114"/>
      <c r="J39" s="1114"/>
      <c r="K39" s="1114"/>
      <c r="L39" s="1056"/>
      <c r="M39" s="1057"/>
      <c r="N39" s="1057"/>
      <c r="O39" s="1098"/>
      <c r="P39" s="1115"/>
      <c r="Q39" s="1098"/>
      <c r="R39" s="1057"/>
      <c r="S39" s="1057"/>
      <c r="T39" s="1057"/>
      <c r="U39" s="1057"/>
      <c r="V39" s="1057"/>
      <c r="W39" s="1116"/>
      <c r="X39" s="1057"/>
      <c r="Y39" s="1057"/>
      <c r="Z39" s="1090"/>
      <c r="AA39" s="1090"/>
      <c r="AB39" s="1090"/>
      <c r="AC39" s="1090"/>
      <c r="AD39" s="1090"/>
      <c r="AE39" s="1098"/>
      <c r="AF39" s="1098"/>
      <c r="AG39" s="1098"/>
      <c r="AH39" s="1098"/>
      <c r="AI39" s="1098"/>
      <c r="AJ39" s="1098"/>
      <c r="AK39" s="1098"/>
      <c r="AL39" s="1098"/>
      <c r="AM39" s="1098"/>
      <c r="AN39" s="1098"/>
      <c r="AO39" s="1098"/>
      <c r="AP39" s="1098"/>
      <c r="AQ39" s="1098"/>
      <c r="AR39" s="1098"/>
      <c r="AS39" s="1098"/>
      <c r="AT39" s="1098"/>
      <c r="AU39" s="1098"/>
      <c r="AV39" s="1098"/>
      <c r="AW39" s="1098"/>
      <c r="AX39" s="1098"/>
      <c r="AY39" s="1098"/>
      <c r="AZ39" s="1098"/>
      <c r="BA39" s="1098"/>
      <c r="BB39" s="1098"/>
      <c r="BC39" s="1098"/>
    </row>
    <row r="40" spans="1:55" ht="99" customHeight="1" x14ac:dyDescent="0.3">
      <c r="A40" s="223"/>
      <c r="B40" s="959" t="s">
        <v>1845</v>
      </c>
      <c r="C40" s="1815">
        <v>17</v>
      </c>
      <c r="D40" s="1856" t="s">
        <v>1814</v>
      </c>
      <c r="E40" s="1819" t="s">
        <v>326</v>
      </c>
      <c r="F40" s="1820" t="s">
        <v>327</v>
      </c>
      <c r="G40" s="1821" t="str">
        <f>IF('Звіт   4,5,6'!E43=0,"Дані не введено",IF(AND(H41&gt;=I41,J41="ПРАВДА",K41="ПРАВДА"),"ПРАВДА","ПОМИЛКА"))</f>
        <v>ПРАВДА</v>
      </c>
      <c r="H40" s="1291" t="s">
        <v>485</v>
      </c>
      <c r="I40" s="1291" t="s">
        <v>486</v>
      </c>
      <c r="J40" s="1212" t="s">
        <v>944</v>
      </c>
      <c r="K40" s="1212" t="s">
        <v>945</v>
      </c>
      <c r="L40" s="1056"/>
      <c r="M40" s="1056"/>
      <c r="N40" s="1056"/>
      <c r="O40" s="1056"/>
      <c r="P40" s="1056"/>
      <c r="Q40" s="1056"/>
      <c r="R40" s="1056"/>
      <c r="S40" s="1056"/>
      <c r="T40" s="1056"/>
      <c r="U40" s="1056"/>
      <c r="V40" s="1056"/>
      <c r="W40" s="1080"/>
      <c r="X40" s="1057"/>
      <c r="Y40" s="1057"/>
      <c r="Z40" s="1057"/>
      <c r="AA40" s="1057"/>
      <c r="AB40" s="1057"/>
      <c r="AC40" s="1057"/>
      <c r="AD40" s="1057"/>
      <c r="AE40" s="1056"/>
      <c r="AF40" s="1056"/>
      <c r="AG40" s="1056"/>
      <c r="AH40" s="1056"/>
      <c r="AI40" s="1056"/>
      <c r="AJ40" s="1056"/>
      <c r="AK40" s="1056"/>
      <c r="AL40" s="1056"/>
      <c r="AM40" s="1056"/>
      <c r="AN40" s="1056"/>
      <c r="AO40" s="1056"/>
      <c r="AP40" s="1056"/>
      <c r="AQ40" s="1056"/>
      <c r="AR40" s="1056"/>
      <c r="AS40" s="1056"/>
      <c r="AT40" s="1056"/>
      <c r="AU40" s="1056"/>
      <c r="AV40" s="1056"/>
      <c r="AW40" s="1056"/>
      <c r="AX40" s="1056"/>
      <c r="AY40" s="1056"/>
      <c r="AZ40" s="1056"/>
      <c r="BA40" s="1056"/>
      <c r="BB40" s="1056"/>
      <c r="BC40" s="1056"/>
    </row>
    <row r="41" spans="1:55" ht="34.5" customHeight="1" x14ac:dyDescent="0.3">
      <c r="A41" s="223"/>
      <c r="B41" s="959"/>
      <c r="C41" s="1815"/>
      <c r="D41" s="1856"/>
      <c r="E41" s="1819"/>
      <c r="F41" s="1820"/>
      <c r="G41" s="1821"/>
      <c r="H41" s="1081">
        <f>ROUND(('Звіт   4,5,6'!H11/1000),1)</f>
        <v>50956</v>
      </c>
      <c r="I41" s="1081">
        <f>ROUND(('Звіт   4,5,6'!H12/1000),1)</f>
        <v>50956</v>
      </c>
      <c r="J41" s="1214" t="str">
        <f>'Звіт   4,5,6'!L8</f>
        <v>ПРАВДА</v>
      </c>
      <c r="K41" s="1214" t="str">
        <f>'Звіт   4,5,6'!M8</f>
        <v>ПРАВДА</v>
      </c>
      <c r="L41" s="1056"/>
      <c r="M41" s="1056"/>
      <c r="N41" s="1056"/>
      <c r="O41" s="1056"/>
      <c r="P41" s="1056"/>
      <c r="Q41" s="1056"/>
      <c r="R41" s="1056"/>
      <c r="S41" s="1056"/>
      <c r="T41" s="1056"/>
      <c r="U41" s="1056"/>
      <c r="V41" s="1056"/>
      <c r="W41" s="1080"/>
      <c r="X41" s="1057"/>
      <c r="Y41" s="1057"/>
      <c r="Z41" s="1057"/>
      <c r="AA41" s="1057"/>
      <c r="AB41" s="1057"/>
      <c r="AC41" s="1057"/>
      <c r="AD41" s="1057"/>
      <c r="AE41" s="1056"/>
      <c r="AF41" s="1056"/>
      <c r="AG41" s="1056"/>
      <c r="AH41" s="1056"/>
      <c r="AI41" s="1056"/>
      <c r="AJ41" s="1056"/>
      <c r="AK41" s="1056"/>
      <c r="AL41" s="1056"/>
      <c r="AM41" s="1056"/>
      <c r="AN41" s="1056"/>
      <c r="AO41" s="1056"/>
      <c r="AP41" s="1056"/>
      <c r="AQ41" s="1056"/>
      <c r="AR41" s="1056"/>
      <c r="AS41" s="1056"/>
      <c r="AT41" s="1056"/>
      <c r="AU41" s="1056"/>
      <c r="AV41" s="1056"/>
      <c r="AW41" s="1056"/>
      <c r="AX41" s="1056"/>
      <c r="AY41" s="1056"/>
      <c r="AZ41" s="1056"/>
      <c r="BA41" s="1056"/>
      <c r="BB41" s="1056"/>
      <c r="BC41" s="1056"/>
    </row>
    <row r="42" spans="1:55" ht="56.25" x14ac:dyDescent="0.3">
      <c r="A42" s="223"/>
      <c r="B42" s="959" t="s">
        <v>1846</v>
      </c>
      <c r="C42" s="1819">
        <v>18</v>
      </c>
      <c r="D42" s="1840" t="s">
        <v>1155</v>
      </c>
      <c r="E42" s="1819" t="s">
        <v>341</v>
      </c>
      <c r="F42" s="1819" t="s">
        <v>334</v>
      </c>
      <c r="G42" s="1821" t="str">
        <f>IF('Звіт   4,5,6'!E43=0,"Дані не введено",IF(L43&gt;=-1,"ПРАВДА", "Увага"))</f>
        <v>ПРАВДА</v>
      </c>
      <c r="H42" s="1291" t="s">
        <v>1136</v>
      </c>
      <c r="I42" s="1291" t="s">
        <v>1134</v>
      </c>
      <c r="J42" s="1291" t="s">
        <v>1096</v>
      </c>
      <c r="K42" s="1321" t="s">
        <v>1139</v>
      </c>
      <c r="L42" s="1112" t="s">
        <v>1163</v>
      </c>
      <c r="M42" s="1252" t="s">
        <v>1164</v>
      </c>
      <c r="N42" s="438"/>
      <c r="O42" s="438"/>
      <c r="P42" s="1079"/>
      <c r="Q42" s="1057"/>
      <c r="R42" s="1057"/>
      <c r="S42" s="1057"/>
      <c r="T42" s="1057"/>
      <c r="U42" s="1057"/>
      <c r="V42" s="1057"/>
      <c r="W42" s="1057"/>
      <c r="X42" s="1057"/>
      <c r="Y42" s="1057"/>
      <c r="Z42" s="1057"/>
      <c r="AA42" s="1057"/>
      <c r="AB42" s="1057"/>
      <c r="AC42" s="1057"/>
      <c r="AD42" s="1057"/>
      <c r="AE42" s="1056"/>
      <c r="AF42" s="1056"/>
      <c r="AG42" s="1056"/>
      <c r="AH42" s="1056"/>
      <c r="AI42" s="1056"/>
      <c r="AJ42" s="1056"/>
      <c r="AK42" s="1056"/>
      <c r="AL42" s="1056"/>
      <c r="AM42" s="1056"/>
      <c r="AN42" s="1056"/>
      <c r="AO42" s="1056"/>
      <c r="AP42" s="1056"/>
      <c r="AQ42" s="1056"/>
      <c r="AR42" s="1056"/>
      <c r="AS42" s="1056"/>
      <c r="AT42" s="1056"/>
      <c r="AU42" s="1056"/>
      <c r="AV42" s="1056"/>
      <c r="AW42" s="1056"/>
      <c r="AX42" s="1056"/>
      <c r="AY42" s="1056"/>
      <c r="AZ42" s="1056"/>
      <c r="BA42" s="1056"/>
      <c r="BB42" s="1056"/>
      <c r="BC42" s="1056"/>
    </row>
    <row r="43" spans="1:55" ht="25.5" customHeight="1" x14ac:dyDescent="0.3">
      <c r="A43" s="223"/>
      <c r="B43" s="959"/>
      <c r="C43" s="1819"/>
      <c r="D43" s="1840"/>
      <c r="E43" s="1819"/>
      <c r="F43" s="1819"/>
      <c r="G43" s="1821"/>
      <c r="H43" s="1081">
        <f>ROUND((('Звіт   4,5,6'!H7-'Звіт   4,5,6'!H27-'Звіт   4,5,6'!H28)/1000),1)</f>
        <v>66992.800000000003</v>
      </c>
      <c r="I43" s="1081">
        <f>ROUND(('Звіт   4,5,6'!E41/1000),1)</f>
        <v>62229.3</v>
      </c>
      <c r="J43" s="1081">
        <f>ROUND((('Звіт   4,5,6'!H34+'Звіт   4,5,6'!H35)/1000),1)</f>
        <v>0</v>
      </c>
      <c r="K43" s="1311">
        <f>ROUND((I43+J43),1)</f>
        <v>62229.3</v>
      </c>
      <c r="L43" s="1271">
        <f>H43-K43</f>
        <v>4763.5</v>
      </c>
      <c r="M43" s="1322">
        <f>L43*100/H43</f>
        <v>7.1</v>
      </c>
      <c r="N43" s="438"/>
      <c r="O43" s="438"/>
      <c r="P43" s="1079"/>
      <c r="Q43" s="1057"/>
      <c r="R43" s="1057"/>
      <c r="S43" s="1057"/>
      <c r="T43" s="1057"/>
      <c r="U43" s="1057"/>
      <c r="V43" s="1057"/>
      <c r="W43" s="1057"/>
      <c r="X43" s="1057"/>
      <c r="Y43" s="1057"/>
      <c r="Z43" s="1057"/>
      <c r="AA43" s="1057"/>
      <c r="AB43" s="1057"/>
      <c r="AC43" s="1057"/>
      <c r="AD43" s="1057"/>
      <c r="AE43" s="1056"/>
      <c r="AF43" s="1056"/>
      <c r="AG43" s="1056"/>
      <c r="AH43" s="1056"/>
      <c r="AI43" s="1056"/>
      <c r="AJ43" s="1056"/>
      <c r="AK43" s="1056"/>
      <c r="AL43" s="1056"/>
      <c r="AM43" s="1056"/>
      <c r="AN43" s="1056"/>
      <c r="AO43" s="1056"/>
      <c r="AP43" s="1056"/>
      <c r="AQ43" s="1056"/>
      <c r="AR43" s="1056"/>
      <c r="AS43" s="1056"/>
      <c r="AT43" s="1056"/>
      <c r="AU43" s="1056"/>
      <c r="AV43" s="1056"/>
      <c r="AW43" s="1056"/>
      <c r="AX43" s="1056"/>
      <c r="AY43" s="1056"/>
      <c r="AZ43" s="1056"/>
      <c r="BA43" s="1056"/>
      <c r="BB43" s="1056"/>
      <c r="BC43" s="1056"/>
    </row>
    <row r="44" spans="1:55" ht="56.25" x14ac:dyDescent="0.3">
      <c r="A44" s="223"/>
      <c r="B44" s="959" t="s">
        <v>1847</v>
      </c>
      <c r="C44" s="1815">
        <v>19</v>
      </c>
      <c r="D44" s="1856" t="s">
        <v>1265</v>
      </c>
      <c r="E44" s="1819" t="s">
        <v>341</v>
      </c>
      <c r="F44" s="1819" t="s">
        <v>334</v>
      </c>
      <c r="G44" s="1857" t="str">
        <f>IF('Звіт   4,5,6'!E43=0,"Дані не введено",IF(N45&gt;=-1,"ПРАВДА", "Увага"))</f>
        <v>ПРАВДА</v>
      </c>
      <c r="H44" s="1228" t="str">
        <f>H42</f>
        <v>Таблиця 4, р.4 гр.5
Дохід без доходу від амортизації, всього</v>
      </c>
      <c r="I44" s="1228" t="s">
        <v>959</v>
      </c>
      <c r="J44" s="1251" t="s">
        <v>1133</v>
      </c>
      <c r="K44" s="1228" t="s">
        <v>1134</v>
      </c>
      <c r="L44" s="1228" t="str">
        <f>J42</f>
        <v>Таблиця 5
Виробнича собівартість готової продукції та товарів</v>
      </c>
      <c r="M44" s="1251" t="str">
        <f>K42</f>
        <v>Всього витрати без амортизації</v>
      </c>
      <c r="N44" s="1127" t="s">
        <v>1165</v>
      </c>
      <c r="O44" s="1252" t="s">
        <v>1166</v>
      </c>
      <c r="P44" s="1056"/>
      <c r="Q44" s="1057"/>
      <c r="R44" s="1057"/>
      <c r="S44" s="1057"/>
      <c r="T44" s="1057"/>
      <c r="U44" s="1057"/>
      <c r="V44" s="1057"/>
      <c r="W44" s="1057"/>
      <c r="X44" s="1057"/>
      <c r="Y44" s="1057"/>
      <c r="Z44" s="1057"/>
      <c r="AA44" s="1057"/>
      <c r="AB44" s="1057"/>
      <c r="AC44" s="1057"/>
      <c r="AD44" s="1057"/>
      <c r="AE44" s="1056"/>
      <c r="AF44" s="1056"/>
      <c r="AG44" s="1056"/>
      <c r="AH44" s="1056"/>
      <c r="AI44" s="1056"/>
      <c r="AJ44" s="1056"/>
      <c r="AK44" s="1056"/>
      <c r="AL44" s="1056"/>
      <c r="AM44" s="1056"/>
      <c r="AN44" s="1056"/>
      <c r="AO44" s="1056"/>
      <c r="AP44" s="1056"/>
      <c r="AQ44" s="1056"/>
      <c r="AR44" s="1056"/>
      <c r="AS44" s="1056"/>
      <c r="AT44" s="1056"/>
      <c r="AU44" s="1056"/>
      <c r="AV44" s="1056"/>
      <c r="AW44" s="1056"/>
      <c r="AX44" s="1056"/>
      <c r="AY44" s="1056"/>
      <c r="AZ44" s="1056"/>
      <c r="BA44" s="1056"/>
      <c r="BB44" s="1056"/>
      <c r="BC44" s="1056"/>
    </row>
    <row r="45" spans="1:55" ht="28.5" customHeight="1" x14ac:dyDescent="0.3">
      <c r="A45" s="223"/>
      <c r="B45" s="959"/>
      <c r="C45" s="1815"/>
      <c r="D45" s="1856"/>
      <c r="E45" s="1819"/>
      <c r="F45" s="1819"/>
      <c r="G45" s="1857"/>
      <c r="H45" s="1249">
        <f>H43</f>
        <v>66992.800000000003</v>
      </c>
      <c r="I45" s="1249">
        <f>ROUND(('Звіт   9'!K93),1)</f>
        <v>0</v>
      </c>
      <c r="J45" s="1320">
        <f>ROUND((H45+I45),1)</f>
        <v>66992.800000000003</v>
      </c>
      <c r="K45" s="1249">
        <f>ROUND(('Звіт   4,5,6'!E41/1000),1)</f>
        <v>62229.3</v>
      </c>
      <c r="L45" s="1249">
        <f>J43</f>
        <v>0</v>
      </c>
      <c r="M45" s="1320">
        <f>ROUND((K45+L45),1)</f>
        <v>62229.3</v>
      </c>
      <c r="N45" s="1325">
        <f>J45-M45</f>
        <v>4763.5</v>
      </c>
      <c r="O45" s="1322">
        <f>N45*100/J45</f>
        <v>7.1</v>
      </c>
      <c r="P45" s="1056"/>
      <c r="Q45" s="1057"/>
      <c r="R45" s="1057"/>
      <c r="S45" s="1057"/>
      <c r="T45" s="1057"/>
      <c r="U45" s="1057"/>
      <c r="V45" s="1057"/>
      <c r="W45" s="1057"/>
      <c r="X45" s="1057"/>
      <c r="Y45" s="1057"/>
      <c r="Z45" s="1057"/>
      <c r="AA45" s="1057"/>
      <c r="AB45" s="1057"/>
      <c r="AC45" s="1057"/>
      <c r="AD45" s="1057"/>
      <c r="AE45" s="1056"/>
      <c r="AF45" s="1056"/>
      <c r="AG45" s="1056"/>
      <c r="AH45" s="1056"/>
      <c r="AI45" s="1056"/>
      <c r="AJ45" s="1056"/>
      <c r="AK45" s="1056"/>
      <c r="AL45" s="1056"/>
      <c r="AM45" s="1056"/>
      <c r="AN45" s="1056"/>
      <c r="AO45" s="1056"/>
      <c r="AP45" s="1056"/>
      <c r="AQ45" s="1056"/>
      <c r="AR45" s="1056"/>
      <c r="AS45" s="1056"/>
      <c r="AT45" s="1056"/>
      <c r="AU45" s="1056"/>
      <c r="AV45" s="1056"/>
      <c r="AW45" s="1056"/>
      <c r="AX45" s="1056"/>
      <c r="AY45" s="1056"/>
      <c r="AZ45" s="1056"/>
      <c r="BA45" s="1056"/>
      <c r="BB45" s="1056"/>
      <c r="BC45" s="1056"/>
    </row>
    <row r="46" spans="1:55" ht="84" customHeight="1" x14ac:dyDescent="0.3">
      <c r="A46" s="223"/>
      <c r="B46" s="959" t="s">
        <v>1848</v>
      </c>
      <c r="C46" s="1819">
        <v>20</v>
      </c>
      <c r="D46" s="1846" t="s">
        <v>1156</v>
      </c>
      <c r="E46" s="1819" t="s">
        <v>341</v>
      </c>
      <c r="F46" s="1819" t="s">
        <v>334</v>
      </c>
      <c r="G46" s="1821" t="str">
        <f>IF('Звіт   4,5,6'!E43=0,"Дані не введено",IF(L47&gt;=-1,"ПРАВДА", "Увага"))</f>
        <v>ПРАВДА</v>
      </c>
      <c r="H46" s="1321" t="s">
        <v>1137</v>
      </c>
      <c r="I46" s="1212" t="s">
        <v>1135</v>
      </c>
      <c r="J46" s="1212" t="str">
        <f>L44</f>
        <v>Таблиця 5
Виробнича собівартість готової продукції та товарів</v>
      </c>
      <c r="K46" s="1311" t="s">
        <v>1138</v>
      </c>
      <c r="L46" s="1112" t="s">
        <v>1167</v>
      </c>
      <c r="M46" s="1252" t="s">
        <v>1168</v>
      </c>
      <c r="N46" s="1088"/>
      <c r="O46" s="1117"/>
      <c r="P46" s="1118"/>
      <c r="Q46" s="1057"/>
      <c r="R46" s="1057"/>
      <c r="S46" s="1057"/>
      <c r="T46" s="1057"/>
      <c r="U46" s="1057"/>
      <c r="V46" s="1057"/>
      <c r="W46" s="1057"/>
      <c r="X46" s="1057"/>
      <c r="Y46" s="1057"/>
      <c r="Z46" s="1057"/>
      <c r="AA46" s="1057"/>
      <c r="AB46" s="1057"/>
      <c r="AC46" s="1057"/>
      <c r="AD46" s="1057"/>
      <c r="AE46" s="1056"/>
      <c r="AF46" s="1056"/>
      <c r="AG46" s="1056"/>
      <c r="AH46" s="1056"/>
      <c r="AI46" s="1056"/>
      <c r="AJ46" s="1056"/>
      <c r="AK46" s="1056"/>
      <c r="AL46" s="1056"/>
      <c r="AM46" s="1056"/>
      <c r="AN46" s="1056"/>
      <c r="AO46" s="1056"/>
      <c r="AP46" s="1056"/>
      <c r="AQ46" s="1056"/>
      <c r="AR46" s="1056"/>
      <c r="AS46" s="1056"/>
      <c r="AT46" s="1056"/>
      <c r="AU46" s="1056"/>
      <c r="AV46" s="1056"/>
      <c r="AW46" s="1056"/>
      <c r="AX46" s="1056"/>
      <c r="AY46" s="1056"/>
      <c r="AZ46" s="1056"/>
      <c r="BA46" s="1056"/>
      <c r="BB46" s="1056"/>
      <c r="BC46" s="1056"/>
    </row>
    <row r="47" spans="1:55" ht="28.5" customHeight="1" x14ac:dyDescent="0.3">
      <c r="A47" s="223"/>
      <c r="B47" s="959"/>
      <c r="C47" s="1819"/>
      <c r="D47" s="1846"/>
      <c r="E47" s="1819"/>
      <c r="F47" s="1819"/>
      <c r="G47" s="1821"/>
      <c r="H47" s="1212">
        <f>ROUND((('Звіт   4,5,6'!H7)/1000),1)</f>
        <v>67359.399999999994</v>
      </c>
      <c r="I47" s="1212">
        <f>ROUND((('Звіт   4,5,6'!E41+'Звіт   4,5,6'!E92)/1000),1)</f>
        <v>62636.9</v>
      </c>
      <c r="J47" s="1212">
        <f>L45</f>
        <v>0</v>
      </c>
      <c r="K47" s="1311">
        <f>ROUND((I47+J47),1)</f>
        <v>62636.9</v>
      </c>
      <c r="L47" s="1271">
        <f>H47-K47</f>
        <v>4722.5</v>
      </c>
      <c r="M47" s="1322">
        <f>L47*100/H47</f>
        <v>7</v>
      </c>
      <c r="N47" s="1088"/>
      <c r="O47" s="1117"/>
      <c r="P47" s="1118"/>
      <c r="Q47" s="1057"/>
      <c r="R47" s="1057"/>
      <c r="S47" s="1057"/>
      <c r="T47" s="1057"/>
      <c r="U47" s="1057"/>
      <c r="V47" s="1057"/>
      <c r="W47" s="1057"/>
      <c r="X47" s="1057"/>
      <c r="Y47" s="1057"/>
      <c r="Z47" s="1057"/>
      <c r="AA47" s="1057"/>
      <c r="AB47" s="1057"/>
      <c r="AC47" s="1057"/>
      <c r="AD47" s="1057"/>
      <c r="AE47" s="1056"/>
      <c r="AF47" s="1056"/>
      <c r="AG47" s="1056"/>
      <c r="AH47" s="1056"/>
      <c r="AI47" s="1056"/>
      <c r="AJ47" s="1056"/>
      <c r="AK47" s="1056"/>
      <c r="AL47" s="1056"/>
      <c r="AM47" s="1056"/>
      <c r="AN47" s="1056"/>
      <c r="AO47" s="1056"/>
      <c r="AP47" s="1056"/>
      <c r="AQ47" s="1056"/>
      <c r="AR47" s="1056"/>
      <c r="AS47" s="1056"/>
      <c r="AT47" s="1056"/>
      <c r="AU47" s="1056"/>
      <c r="AV47" s="1056"/>
      <c r="AW47" s="1056"/>
      <c r="AX47" s="1056"/>
      <c r="AY47" s="1056"/>
      <c r="AZ47" s="1056"/>
      <c r="BA47" s="1056"/>
      <c r="BB47" s="1056"/>
      <c r="BC47" s="1056"/>
    </row>
    <row r="48" spans="1:55" ht="95.25" customHeight="1" x14ac:dyDescent="0.3">
      <c r="A48" s="223"/>
      <c r="B48" s="959" t="s">
        <v>1849</v>
      </c>
      <c r="C48" s="1815">
        <v>21</v>
      </c>
      <c r="D48" s="1856" t="s">
        <v>1266</v>
      </c>
      <c r="E48" s="1819" t="s">
        <v>341</v>
      </c>
      <c r="F48" s="1819" t="s">
        <v>334</v>
      </c>
      <c r="G48" s="1857" t="str">
        <f>IF('Звіт   4,5,6'!E43=0,"Дані не введено",IF(O49&gt;=-1,"ПРАВДА", "Увага"))</f>
        <v>ПРАВДА</v>
      </c>
      <c r="H48" s="1251" t="str">
        <f>H46</f>
        <v>Таблиця 4, р.4 гр.5
Всього дохід</v>
      </c>
      <c r="I48" s="1228" t="str">
        <f>I44</f>
        <v>Баланс
Аванси ПМГ станом на кінець звітного періоду</v>
      </c>
      <c r="J48" s="1228" t="s">
        <v>1264</v>
      </c>
      <c r="K48" s="1251" t="s">
        <v>990</v>
      </c>
      <c r="L48" s="1228" t="str">
        <f t="shared" ref="L48:N49" si="0">I46</f>
        <v xml:space="preserve">Таблиця 5.1
Операційні та неопераційні витрати з амортизацією, всього </v>
      </c>
      <c r="M48" s="1228" t="str">
        <f t="shared" si="0"/>
        <v>Таблиця 5
Виробнича собівартість готової продукції та товарів</v>
      </c>
      <c r="N48" s="1320" t="str">
        <f t="shared" si="0"/>
        <v>Всього витрати з амортизацією</v>
      </c>
      <c r="O48" s="1252" t="s">
        <v>1169</v>
      </c>
      <c r="P48" s="1252" t="s">
        <v>1170</v>
      </c>
      <c r="Q48" s="1057"/>
      <c r="R48" s="1057"/>
      <c r="S48" s="1057"/>
      <c r="T48" s="1057"/>
      <c r="U48" s="1057"/>
      <c r="V48" s="1057"/>
      <c r="W48" s="1057"/>
      <c r="X48" s="1057"/>
      <c r="Y48" s="1057"/>
      <c r="Z48" s="1057"/>
      <c r="AA48" s="1057"/>
      <c r="AB48" s="1057"/>
      <c r="AC48" s="1057"/>
      <c r="AD48" s="1057"/>
      <c r="AE48" s="1056"/>
      <c r="AF48" s="1056"/>
      <c r="AG48" s="1056"/>
      <c r="AH48" s="1056"/>
      <c r="AI48" s="1056"/>
      <c r="AJ48" s="1056"/>
      <c r="AK48" s="1056"/>
      <c r="AL48" s="1056"/>
      <c r="AM48" s="1056"/>
      <c r="AN48" s="1056"/>
      <c r="AO48" s="1056"/>
      <c r="AP48" s="1056"/>
      <c r="AQ48" s="1056"/>
      <c r="AR48" s="1056"/>
      <c r="AS48" s="1056"/>
      <c r="AT48" s="1056"/>
      <c r="AU48" s="1056"/>
      <c r="AV48" s="1056"/>
      <c r="AW48" s="1056"/>
      <c r="AX48" s="1056"/>
      <c r="AY48" s="1056"/>
      <c r="AZ48" s="1056"/>
      <c r="BA48" s="1056"/>
      <c r="BB48" s="1056"/>
      <c r="BC48" s="1056"/>
    </row>
    <row r="49" spans="1:55" ht="30.75" customHeight="1" x14ac:dyDescent="0.3">
      <c r="A49" s="223"/>
      <c r="B49" s="959"/>
      <c r="C49" s="1815"/>
      <c r="D49" s="1856"/>
      <c r="E49" s="1819"/>
      <c r="F49" s="1819"/>
      <c r="G49" s="1857"/>
      <c r="H49" s="1249">
        <f>H47</f>
        <v>67359.399999999994</v>
      </c>
      <c r="I49" s="1249">
        <f>I45</f>
        <v>0</v>
      </c>
      <c r="J49" s="1249">
        <f>ROUND((('Звіт 10, 11,12,13,14'!G88+'Звіт 10, 11,12,13,14'!G89)/1000),1)</f>
        <v>0</v>
      </c>
      <c r="K49" s="1249">
        <f>ROUND((H49+I49+J49),1)</f>
        <v>67359.399999999994</v>
      </c>
      <c r="L49" s="1228">
        <f t="shared" si="0"/>
        <v>62636.9</v>
      </c>
      <c r="M49" s="1228">
        <f t="shared" si="0"/>
        <v>0</v>
      </c>
      <c r="N49" s="1320">
        <f t="shared" si="0"/>
        <v>62636.9</v>
      </c>
      <c r="O49" s="1249">
        <f>K49-N49</f>
        <v>4722.5</v>
      </c>
      <c r="P49" s="1322">
        <f>O49*100/K49</f>
        <v>7</v>
      </c>
      <c r="Q49" s="1119"/>
      <c r="R49" s="1057"/>
      <c r="S49" s="1057"/>
      <c r="T49" s="1057"/>
      <c r="U49" s="1057"/>
      <c r="V49" s="1057"/>
      <c r="W49" s="1057"/>
      <c r="X49" s="1057"/>
      <c r="Y49" s="1057"/>
      <c r="Z49" s="1057"/>
      <c r="AA49" s="1057"/>
      <c r="AB49" s="1057"/>
      <c r="AC49" s="1057"/>
      <c r="AD49" s="1057"/>
      <c r="AE49" s="1056"/>
      <c r="AF49" s="1056"/>
      <c r="AG49" s="1056"/>
      <c r="AH49" s="1056"/>
      <c r="AI49" s="1056"/>
      <c r="AJ49" s="1056"/>
      <c r="AK49" s="1056"/>
      <c r="AL49" s="1056"/>
      <c r="AM49" s="1056"/>
      <c r="AN49" s="1056"/>
      <c r="AO49" s="1056"/>
      <c r="AP49" s="1056"/>
      <c r="AQ49" s="1056"/>
      <c r="AR49" s="1056"/>
      <c r="AS49" s="1056"/>
      <c r="AT49" s="1056"/>
      <c r="AU49" s="1056"/>
      <c r="AV49" s="1056"/>
      <c r="AW49" s="1056"/>
      <c r="AX49" s="1056"/>
      <c r="AY49" s="1056"/>
      <c r="AZ49" s="1056"/>
      <c r="BA49" s="1056"/>
      <c r="BB49" s="1056"/>
      <c r="BC49" s="1056"/>
    </row>
    <row r="50" spans="1:55" ht="99.75" customHeight="1" x14ac:dyDescent="0.3">
      <c r="A50" s="223"/>
      <c r="B50" s="959" t="s">
        <v>1850</v>
      </c>
      <c r="C50" s="1819">
        <v>22</v>
      </c>
      <c r="D50" s="1840" t="s">
        <v>670</v>
      </c>
      <c r="E50" s="1819" t="s">
        <v>326</v>
      </c>
      <c r="F50" s="1819" t="s">
        <v>327</v>
      </c>
      <c r="G50" s="1821" t="str">
        <f>IF('Звіт   4,5,6'!E43=0,"Дані не введено",IF(OR(AND((L51-O51)&gt;=-1,(L51-O51)&lt;=1,N51&gt;0,M51=0)),"ПРАВДА",IF(OR(AND((M51-P51)&gt;=-1,(M51-P51)&lt;=1,N51&lt;0,L51=0)),"ПРАВДА",IF(OR(AND(N51=0,L51=0,M51=0)),"ПРАВДА","ПОМИЛКА"))))</f>
        <v>ПРАВДА</v>
      </c>
      <c r="H50" s="1291" t="s">
        <v>666</v>
      </c>
      <c r="I50" s="1291" t="s">
        <v>669</v>
      </c>
      <c r="J50" s="1212" t="s">
        <v>1262</v>
      </c>
      <c r="K50" s="1212" t="s">
        <v>1261</v>
      </c>
      <c r="L50" s="1291" t="s">
        <v>667</v>
      </c>
      <c r="M50" s="1212" t="s">
        <v>668</v>
      </c>
      <c r="N50" s="1326" t="s">
        <v>716</v>
      </c>
      <c r="O50" s="1327" t="s">
        <v>342</v>
      </c>
      <c r="P50" s="1328" t="s">
        <v>343</v>
      </c>
      <c r="Q50" s="1832" t="s">
        <v>989</v>
      </c>
      <c r="R50" s="1832"/>
      <c r="S50" s="1057"/>
      <c r="T50" s="1057"/>
      <c r="U50" s="1057"/>
      <c r="V50" s="1057"/>
      <c r="W50" s="1057"/>
      <c r="X50" s="1057"/>
      <c r="Y50" s="1057"/>
      <c r="Z50" s="1057"/>
      <c r="AA50" s="1057"/>
      <c r="AB50" s="1057"/>
      <c r="AC50" s="1057"/>
      <c r="AD50" s="1057"/>
      <c r="AE50" s="1056"/>
      <c r="AF50" s="1056"/>
      <c r="AG50" s="1056"/>
      <c r="AH50" s="1056"/>
      <c r="AI50" s="1056"/>
      <c r="AJ50" s="1056"/>
      <c r="AK50" s="1056"/>
      <c r="AL50" s="1056"/>
      <c r="AM50" s="1056"/>
      <c r="AN50" s="1056"/>
      <c r="AO50" s="1056"/>
      <c r="AP50" s="1056"/>
      <c r="AQ50" s="1056"/>
      <c r="AR50" s="1056"/>
      <c r="AS50" s="1056"/>
      <c r="AT50" s="1056"/>
      <c r="AU50" s="1056"/>
      <c r="AV50" s="1056"/>
      <c r="AW50" s="1056"/>
      <c r="AX50" s="1056"/>
      <c r="AY50" s="1056"/>
      <c r="AZ50" s="1056"/>
      <c r="BA50" s="1056"/>
      <c r="BB50" s="1056"/>
      <c r="BC50" s="1056"/>
    </row>
    <row r="51" spans="1:55" ht="29.25" customHeight="1" x14ac:dyDescent="0.3">
      <c r="A51" s="223"/>
      <c r="B51" s="959"/>
      <c r="C51" s="1819"/>
      <c r="D51" s="1840"/>
      <c r="E51" s="1819"/>
      <c r="F51" s="1819"/>
      <c r="G51" s="1821"/>
      <c r="H51" s="1081">
        <f>ROUND('Звіт   9'!H33,1)</f>
        <v>0</v>
      </c>
      <c r="I51" s="1081">
        <f>ROUND('Звіт   4,5,6'!H12/1000,1)</f>
        <v>50956</v>
      </c>
      <c r="J51" s="1081">
        <f>ROUND('Звіт   9'!H93,1)</f>
        <v>0</v>
      </c>
      <c r="K51" s="1081">
        <f>ROUND('Дод_Надходж ПМГ '!E9/1000,1)</f>
        <v>50956</v>
      </c>
      <c r="L51" s="1295">
        <f>ROUND('Звіт   9'!K33,1)</f>
        <v>0</v>
      </c>
      <c r="M51" s="1249">
        <f>ROUND('Звіт   9'!K93,1)</f>
        <v>0</v>
      </c>
      <c r="N51" s="1295">
        <f>ROUND((H51+I51-J51-K51),1)</f>
        <v>0</v>
      </c>
      <c r="O51" s="1295" t="b">
        <f>IF(AND(N51&gt;0,M51=0),ROUND((H51+I51-J51-K51),1))</f>
        <v>0</v>
      </c>
      <c r="P51" s="1295" t="b">
        <f>IF(AND(N51&lt;0,L51=0),-ROUND((H51+I51-J51-K51),1))</f>
        <v>0</v>
      </c>
      <c r="Q51" s="1832"/>
      <c r="R51" s="1832"/>
      <c r="S51" s="1057"/>
      <c r="T51" s="1057"/>
      <c r="U51" s="1057"/>
      <c r="V51" s="1057"/>
      <c r="W51" s="1057"/>
      <c r="X51" s="1057"/>
      <c r="Y51" s="1057"/>
      <c r="Z51" s="1057"/>
      <c r="AA51" s="1057"/>
      <c r="AB51" s="1057"/>
      <c r="AC51" s="1057"/>
      <c r="AD51" s="1057"/>
      <c r="AE51" s="1056"/>
      <c r="AF51" s="1056"/>
      <c r="AG51" s="1056"/>
      <c r="AH51" s="1056"/>
      <c r="AI51" s="1056"/>
      <c r="AJ51" s="1056"/>
      <c r="AK51" s="1056"/>
      <c r="AL51" s="1056"/>
      <c r="AM51" s="1056"/>
      <c r="AN51" s="1056"/>
      <c r="AO51" s="1056"/>
      <c r="AP51" s="1056"/>
      <c r="AQ51" s="1056"/>
      <c r="AR51" s="1056"/>
      <c r="AS51" s="1056"/>
      <c r="AT51" s="1056"/>
      <c r="AU51" s="1056"/>
      <c r="AV51" s="1056"/>
      <c r="AW51" s="1056"/>
      <c r="AX51" s="1056"/>
      <c r="AY51" s="1056"/>
      <c r="AZ51" s="1056"/>
      <c r="BA51" s="1056"/>
      <c r="BB51" s="1056"/>
      <c r="BC51" s="1056"/>
    </row>
    <row r="52" spans="1:55" ht="30.75" x14ac:dyDescent="0.3">
      <c r="A52" s="223"/>
      <c r="B52" s="959"/>
      <c r="C52" s="1102"/>
      <c r="D52" s="1120" t="s">
        <v>338</v>
      </c>
      <c r="E52" s="1121"/>
      <c r="F52" s="1122"/>
      <c r="G52" s="1050"/>
      <c r="H52" s="1323"/>
      <c r="I52" s="1324"/>
      <c r="J52" s="1071"/>
      <c r="K52" s="1071"/>
      <c r="L52" s="1071"/>
      <c r="M52" s="1071"/>
      <c r="N52" s="1071"/>
      <c r="O52" s="1071"/>
      <c r="P52" s="1071"/>
      <c r="Q52" s="1123"/>
      <c r="R52" s="1057"/>
      <c r="S52" s="1057"/>
      <c r="T52" s="1057"/>
      <c r="U52" s="1057"/>
      <c r="V52" s="1057"/>
      <c r="W52" s="1057"/>
      <c r="X52" s="1057"/>
      <c r="Y52" s="1057"/>
      <c r="Z52" s="1057"/>
      <c r="AA52" s="1057"/>
      <c r="AB52" s="1057"/>
      <c r="AC52" s="1057"/>
      <c r="AD52" s="1057"/>
      <c r="AE52" s="1056"/>
      <c r="AF52" s="1056"/>
      <c r="AG52" s="1056"/>
      <c r="AH52" s="1056"/>
      <c r="AI52" s="1056"/>
      <c r="AJ52" s="1056"/>
      <c r="AK52" s="1056"/>
      <c r="AL52" s="1056"/>
      <c r="AM52" s="1056"/>
      <c r="AN52" s="1056"/>
      <c r="AO52" s="1056"/>
      <c r="AP52" s="1056"/>
      <c r="AQ52" s="1056"/>
      <c r="AR52" s="1056"/>
      <c r="AS52" s="1056"/>
      <c r="AT52" s="1056"/>
      <c r="AU52" s="1056"/>
      <c r="AV52" s="1056"/>
      <c r="AW52" s="1056"/>
      <c r="AX52" s="1056"/>
      <c r="AY52" s="1056"/>
      <c r="AZ52" s="1056"/>
      <c r="BA52" s="1056"/>
      <c r="BB52" s="1056"/>
      <c r="BC52" s="1056"/>
    </row>
    <row r="53" spans="1:55" ht="26.25" customHeight="1" x14ac:dyDescent="0.3">
      <c r="A53" s="223"/>
      <c r="B53" s="959" t="s">
        <v>1851</v>
      </c>
      <c r="C53" s="1819">
        <v>23</v>
      </c>
      <c r="D53" s="1840" t="s">
        <v>339</v>
      </c>
      <c r="E53" s="1819" t="s">
        <v>326</v>
      </c>
      <c r="F53" s="1820" t="s">
        <v>327</v>
      </c>
      <c r="G53" s="1821" t="str">
        <f>IF('Звіт   4,5,6'!E43=0,"Дані не введено",IF(AND(H54&gt;0,I54&gt;=0.5*H54),"ПРАВДА","ПОМИЛКА"))</f>
        <v>ПРАВДА</v>
      </c>
      <c r="H53" s="1291" t="s">
        <v>1353</v>
      </c>
      <c r="I53" s="1329">
        <v>903</v>
      </c>
      <c r="J53" s="1071"/>
      <c r="K53" s="1071"/>
      <c r="L53" s="1071"/>
      <c r="M53" s="1071"/>
      <c r="N53" s="1071"/>
      <c r="O53" s="1071"/>
      <c r="P53" s="1071"/>
      <c r="Q53" s="1123"/>
      <c r="R53" s="1057"/>
      <c r="S53" s="1057"/>
      <c r="T53" s="1057"/>
      <c r="U53" s="1057"/>
      <c r="V53" s="1057"/>
      <c r="W53" s="1057"/>
      <c r="X53" s="1057"/>
      <c r="Y53" s="1057"/>
      <c r="Z53" s="1057"/>
      <c r="AA53" s="1057"/>
      <c r="AB53" s="1057"/>
      <c r="AC53" s="1057"/>
      <c r="AD53" s="1057"/>
      <c r="AE53" s="1056"/>
      <c r="AF53" s="1056"/>
      <c r="AG53" s="1056"/>
      <c r="AH53" s="1056"/>
      <c r="AI53" s="1056"/>
      <c r="AJ53" s="1056"/>
      <c r="AK53" s="1056"/>
      <c r="AL53" s="1056"/>
      <c r="AM53" s="1056"/>
      <c r="AN53" s="1056"/>
      <c r="AO53" s="1056"/>
      <c r="AP53" s="1056"/>
      <c r="AQ53" s="1056"/>
      <c r="AR53" s="1056"/>
      <c r="AS53" s="1056"/>
      <c r="AT53" s="1056"/>
      <c r="AU53" s="1056"/>
      <c r="AV53" s="1056"/>
      <c r="AW53" s="1056"/>
      <c r="AX53" s="1056"/>
      <c r="AY53" s="1056"/>
      <c r="AZ53" s="1056"/>
      <c r="BA53" s="1056"/>
      <c r="BB53" s="1056"/>
      <c r="BC53" s="1056"/>
    </row>
    <row r="54" spans="1:55" ht="24" customHeight="1" x14ac:dyDescent="0.3">
      <c r="A54" s="223"/>
      <c r="B54" s="959"/>
      <c r="C54" s="1819"/>
      <c r="D54" s="1840"/>
      <c r="E54" s="1819"/>
      <c r="F54" s="1820"/>
      <c r="G54" s="1821"/>
      <c r="H54" s="1081">
        <f>'Звіт   4,5,6'!H12/1000</f>
        <v>50956</v>
      </c>
      <c r="I54" s="1081">
        <f>'Звіт   4,5,6'!G42/1000</f>
        <v>42422.9</v>
      </c>
      <c r="J54" s="1071"/>
      <c r="K54" s="1071"/>
      <c r="L54" s="1071"/>
      <c r="M54" s="1071"/>
      <c r="N54" s="1071"/>
      <c r="O54" s="1071"/>
      <c r="P54" s="1071"/>
      <c r="Q54" s="1123"/>
      <c r="R54" s="1057"/>
      <c r="S54" s="1057"/>
      <c r="T54" s="1057"/>
      <c r="U54" s="1057"/>
      <c r="V54" s="1057"/>
      <c r="W54" s="1057"/>
      <c r="X54" s="1057"/>
      <c r="Y54" s="1057"/>
      <c r="Z54" s="1057"/>
      <c r="AA54" s="1057"/>
      <c r="AB54" s="1057"/>
      <c r="AC54" s="1057"/>
      <c r="AD54" s="1057"/>
      <c r="AE54" s="1056"/>
      <c r="AF54" s="1056"/>
      <c r="AG54" s="1056"/>
      <c r="AH54" s="1056"/>
      <c r="AI54" s="1056"/>
      <c r="AJ54" s="1056"/>
      <c r="AK54" s="1056"/>
      <c r="AL54" s="1056"/>
      <c r="AM54" s="1056"/>
      <c r="AN54" s="1056"/>
      <c r="AO54" s="1056"/>
      <c r="AP54" s="1056"/>
      <c r="AQ54" s="1056"/>
      <c r="AR54" s="1056"/>
      <c r="AS54" s="1056"/>
      <c r="AT54" s="1056"/>
      <c r="AU54" s="1056"/>
      <c r="AV54" s="1056"/>
      <c r="AW54" s="1056"/>
      <c r="AX54" s="1056"/>
      <c r="AY54" s="1056"/>
      <c r="AZ54" s="1056"/>
      <c r="BA54" s="1056"/>
      <c r="BB54" s="1056"/>
      <c r="BC54" s="1056"/>
    </row>
    <row r="55" spans="1:55" ht="138.75" customHeight="1" x14ac:dyDescent="0.3">
      <c r="A55" s="223"/>
      <c r="B55" s="959" t="s">
        <v>1852</v>
      </c>
      <c r="C55" s="1819">
        <v>24</v>
      </c>
      <c r="D55" s="1846" t="s">
        <v>1184</v>
      </c>
      <c r="E55" s="1819" t="s">
        <v>326</v>
      </c>
      <c r="F55" s="1819" t="s">
        <v>327</v>
      </c>
      <c r="G55" s="1821" t="str">
        <f>IF('Звіт   4,5,6'!E43=0,"Дані не введено",IF(AND(H56="ПРАВДА",I56="ПРАВДА"),"ПРАВДА","ПОМИЛКА"))</f>
        <v>ПРАВДА</v>
      </c>
      <c r="H55" s="1228" t="s">
        <v>955</v>
      </c>
      <c r="I55" s="1228" t="s">
        <v>956</v>
      </c>
      <c r="J55" s="1071"/>
      <c r="K55" s="1071"/>
      <c r="L55" s="1071"/>
      <c r="M55" s="1071"/>
      <c r="N55" s="1071"/>
      <c r="O55" s="1071"/>
      <c r="P55" s="1071"/>
      <c r="Q55" s="1079"/>
      <c r="R55" s="1057"/>
      <c r="S55" s="1057"/>
      <c r="T55" s="1057"/>
      <c r="U55" s="1057"/>
      <c r="V55" s="1057"/>
      <c r="W55" s="1057"/>
      <c r="X55" s="1057"/>
      <c r="Y55" s="1057"/>
      <c r="Z55" s="1057"/>
      <c r="AA55" s="1057"/>
      <c r="AB55" s="1057"/>
      <c r="AC55" s="1057"/>
      <c r="AD55" s="1057"/>
      <c r="AE55" s="1056"/>
      <c r="AF55" s="1056"/>
      <c r="AG55" s="1056"/>
      <c r="AH55" s="1056"/>
      <c r="AI55" s="1056"/>
      <c r="AJ55" s="1056"/>
      <c r="AK55" s="1056"/>
      <c r="AL55" s="1056"/>
      <c r="AM55" s="1056"/>
      <c r="AN55" s="1056"/>
      <c r="AO55" s="1056"/>
      <c r="AP55" s="1056"/>
      <c r="AQ55" s="1056"/>
      <c r="AR55" s="1056"/>
      <c r="AS55" s="1056"/>
      <c r="AT55" s="1056"/>
      <c r="AU55" s="1056"/>
      <c r="AV55" s="1056"/>
      <c r="AW55" s="1056"/>
      <c r="AX55" s="1056"/>
      <c r="AY55" s="1056"/>
      <c r="AZ55" s="1056"/>
      <c r="BA55" s="1056"/>
      <c r="BB55" s="1056"/>
      <c r="BC55" s="1056"/>
    </row>
    <row r="56" spans="1:55" ht="27" customHeight="1" x14ac:dyDescent="0.3">
      <c r="A56" s="223"/>
      <c r="B56" s="959"/>
      <c r="C56" s="1819"/>
      <c r="D56" s="1846"/>
      <c r="E56" s="1819"/>
      <c r="F56" s="1819"/>
      <c r="G56" s="1821"/>
      <c r="H56" s="1750" t="str">
        <f>'Звіт  7,8'!L48</f>
        <v>ПРАВДА</v>
      </c>
      <c r="I56" s="1750" t="str">
        <f>'Звіт  7,8'!M48</f>
        <v>ПРАВДА</v>
      </c>
      <c r="J56" s="1071"/>
      <c r="K56" s="1071"/>
      <c r="L56" s="1071"/>
      <c r="M56" s="1071"/>
      <c r="N56" s="1071"/>
      <c r="O56" s="1071"/>
      <c r="P56" s="1071"/>
      <c r="Q56" s="1057"/>
      <c r="R56" s="1057"/>
      <c r="S56" s="1057"/>
      <c r="T56" s="1057"/>
      <c r="U56" s="1057"/>
      <c r="V56" s="1057"/>
      <c r="W56" s="1057"/>
      <c r="X56" s="1057"/>
      <c r="Y56" s="1057"/>
      <c r="Z56" s="1057"/>
      <c r="AA56" s="1057"/>
      <c r="AB56" s="1057"/>
      <c r="AC56" s="1057"/>
      <c r="AD56" s="1057"/>
      <c r="AE56" s="1056"/>
      <c r="AF56" s="1056"/>
      <c r="AG56" s="1056"/>
      <c r="AH56" s="1056"/>
      <c r="AI56" s="1056"/>
      <c r="AJ56" s="1056"/>
      <c r="AK56" s="1056"/>
      <c r="AL56" s="1056"/>
      <c r="AM56" s="1056"/>
      <c r="AN56" s="1056"/>
      <c r="AO56" s="1056"/>
      <c r="AP56" s="1056"/>
      <c r="AQ56" s="1056"/>
      <c r="AR56" s="1056"/>
      <c r="AS56" s="1056"/>
      <c r="AT56" s="1056"/>
      <c r="AU56" s="1056"/>
      <c r="AV56" s="1056"/>
      <c r="AW56" s="1056"/>
      <c r="AX56" s="1056"/>
      <c r="AY56" s="1056"/>
      <c r="AZ56" s="1056"/>
      <c r="BA56" s="1056"/>
      <c r="BB56" s="1056"/>
      <c r="BC56" s="1056"/>
    </row>
    <row r="57" spans="1:55" x14ac:dyDescent="0.3">
      <c r="A57" s="223"/>
      <c r="B57" s="959"/>
      <c r="C57" s="1071"/>
      <c r="D57" s="1124" t="s">
        <v>35</v>
      </c>
      <c r="E57" s="1125"/>
      <c r="F57" s="1083"/>
      <c r="G57" s="1126"/>
      <c r="H57" s="1071"/>
      <c r="I57" s="1107"/>
      <c r="J57" s="1107"/>
      <c r="K57" s="1107"/>
      <c r="L57" s="1107"/>
      <c r="M57" s="1107"/>
      <c r="N57" s="1107"/>
      <c r="O57" s="1071"/>
      <c r="P57" s="1071"/>
      <c r="Q57" s="1057"/>
      <c r="R57" s="1057"/>
      <c r="S57" s="1057"/>
      <c r="T57" s="1057"/>
      <c r="U57" s="1057"/>
      <c r="V57" s="1057"/>
      <c r="W57" s="1057"/>
      <c r="X57" s="1057"/>
      <c r="Y57" s="1057"/>
      <c r="Z57" s="1057"/>
      <c r="AA57" s="1057"/>
      <c r="AB57" s="1057"/>
      <c r="AC57" s="1057"/>
      <c r="AD57" s="1057"/>
      <c r="AE57" s="1056"/>
      <c r="AF57" s="1056"/>
      <c r="AG57" s="1056"/>
      <c r="AH57" s="1056"/>
      <c r="AI57" s="1056"/>
      <c r="AJ57" s="1056"/>
      <c r="AK57" s="1056"/>
      <c r="AL57" s="1056"/>
      <c r="AM57" s="1056"/>
      <c r="AN57" s="1056"/>
      <c r="AO57" s="1056"/>
      <c r="AP57" s="1056"/>
      <c r="AQ57" s="1056"/>
      <c r="AR57" s="1056"/>
      <c r="AS57" s="1056"/>
      <c r="AT57" s="1056"/>
      <c r="AU57" s="1056"/>
      <c r="AV57" s="1056"/>
      <c r="AW57" s="1056"/>
      <c r="AX57" s="1056"/>
      <c r="AY57" s="1056"/>
      <c r="AZ57" s="1056"/>
      <c r="BA57" s="1056"/>
      <c r="BB57" s="1056"/>
      <c r="BC57" s="1056"/>
    </row>
    <row r="58" spans="1:55" ht="34.5" customHeight="1" x14ac:dyDescent="0.3">
      <c r="A58" s="223"/>
      <c r="B58" s="959" t="s">
        <v>1853</v>
      </c>
      <c r="C58" s="1218">
        <v>25</v>
      </c>
      <c r="D58" s="1330" t="s">
        <v>1140</v>
      </c>
      <c r="E58" s="1213" t="s">
        <v>326</v>
      </c>
      <c r="F58" s="1213" t="s">
        <v>327</v>
      </c>
      <c r="G58" s="1214" t="str">
        <f>IF('Звіт   4,5,6'!E43=0,"Дані не введено",IF((('Звіт   4,5,6'!H27+'Звіт   4,5,6'!H28+'Звіт 10, 11,12,13,14'!G88)/1000)&lt;=('Звіт   4,5,6'!G106/1000),"ПРАВДА","ПОМИЛКА"))</f>
        <v>ПРАВДА</v>
      </c>
      <c r="H58" s="1079"/>
      <c r="I58" s="1107"/>
      <c r="J58" s="1107"/>
      <c r="K58" s="1107"/>
      <c r="L58" s="1107"/>
      <c r="M58" s="1107"/>
      <c r="N58" s="1107"/>
      <c r="O58" s="1107"/>
      <c r="P58" s="1107"/>
      <c r="Q58" s="1057"/>
      <c r="R58" s="1057"/>
      <c r="S58" s="1057"/>
      <c r="T58" s="1057"/>
      <c r="U58" s="1057"/>
      <c r="V58" s="1057"/>
      <c r="W58" s="1057"/>
      <c r="X58" s="1057"/>
      <c r="Y58" s="1057"/>
      <c r="Z58" s="1057"/>
      <c r="AA58" s="1057"/>
      <c r="AB58" s="1057"/>
      <c r="AC58" s="1057"/>
      <c r="AD58" s="1057"/>
      <c r="AE58" s="1056"/>
      <c r="AF58" s="1056"/>
      <c r="AG58" s="1056"/>
      <c r="AH58" s="1056"/>
      <c r="AI58" s="1056"/>
      <c r="AJ58" s="1056"/>
      <c r="AK58" s="1056"/>
      <c r="AL58" s="1056"/>
      <c r="AM58" s="1056"/>
      <c r="AN58" s="1056"/>
      <c r="AO58" s="1056"/>
      <c r="AP58" s="1056"/>
      <c r="AQ58" s="1056"/>
      <c r="AR58" s="1056"/>
      <c r="AS58" s="1056"/>
      <c r="AT58" s="1056"/>
      <c r="AU58" s="1056"/>
      <c r="AV58" s="1056"/>
      <c r="AW58" s="1056"/>
      <c r="AX58" s="1056"/>
      <c r="AY58" s="1056"/>
      <c r="AZ58" s="1056"/>
      <c r="BA58" s="1056"/>
      <c r="BB58" s="1056"/>
      <c r="BC58" s="1056"/>
    </row>
    <row r="59" spans="1:55" ht="25.15" customHeight="1" x14ac:dyDescent="0.3">
      <c r="A59" s="223"/>
      <c r="B59" s="959" t="s">
        <v>1854</v>
      </c>
      <c r="C59" s="1819">
        <v>26</v>
      </c>
      <c r="D59" s="1846" t="s">
        <v>957</v>
      </c>
      <c r="E59" s="1819" t="s">
        <v>326</v>
      </c>
      <c r="F59" s="1819" t="s">
        <v>332</v>
      </c>
      <c r="G59" s="1821" t="str">
        <f>IF('Звіт   4,5,6'!E43=0,"Дані не введено",IF(OR(H60=0,H60&gt;=50),"ПРАВДА","ПОМИЛКА"))</f>
        <v>ПРАВДА</v>
      </c>
      <c r="H59" s="1212" t="s">
        <v>545</v>
      </c>
      <c r="I59" s="1107"/>
      <c r="J59" s="1107"/>
      <c r="K59" s="1107"/>
      <c r="L59" s="1107"/>
      <c r="M59" s="1107"/>
      <c r="N59" s="1107"/>
      <c r="O59" s="1107"/>
      <c r="P59" s="1107"/>
      <c r="Q59" s="1057"/>
      <c r="R59" s="1057"/>
      <c r="S59" s="1057"/>
      <c r="T59" s="1057"/>
      <c r="U59" s="1057"/>
      <c r="V59" s="1057"/>
      <c r="W59" s="1057"/>
      <c r="X59" s="1057"/>
      <c r="Y59" s="1057"/>
      <c r="Z59" s="1057"/>
      <c r="AA59" s="1057"/>
      <c r="AB59" s="1057"/>
      <c r="AC59" s="1057"/>
      <c r="AD59" s="1057"/>
      <c r="AE59" s="1056"/>
      <c r="AF59" s="1056"/>
      <c r="AG59" s="1056"/>
      <c r="AH59" s="1056"/>
      <c r="AI59" s="1056"/>
      <c r="AJ59" s="1056"/>
      <c r="AK59" s="1056"/>
      <c r="AL59" s="1056"/>
      <c r="AM59" s="1056"/>
      <c r="AN59" s="1056"/>
      <c r="AO59" s="1056"/>
      <c r="AP59" s="1056"/>
      <c r="AQ59" s="1056"/>
      <c r="AR59" s="1056"/>
      <c r="AS59" s="1056"/>
      <c r="AT59" s="1056"/>
      <c r="AU59" s="1056"/>
      <c r="AV59" s="1056"/>
      <c r="AW59" s="1056"/>
      <c r="AX59" s="1056"/>
      <c r="AY59" s="1056"/>
      <c r="AZ59" s="1056"/>
      <c r="BA59" s="1056"/>
      <c r="BB59" s="1056"/>
      <c r="BC59" s="1056"/>
    </row>
    <row r="60" spans="1:55" ht="50.65" customHeight="1" x14ac:dyDescent="0.3">
      <c r="A60" s="223"/>
      <c r="B60" s="959"/>
      <c r="C60" s="1819"/>
      <c r="D60" s="1846"/>
      <c r="E60" s="1819"/>
      <c r="F60" s="1819"/>
      <c r="G60" s="1821"/>
      <c r="H60" s="1295">
        <f>'Звіт   4,5,6'!H27</f>
        <v>100299</v>
      </c>
      <c r="I60" s="1107"/>
      <c r="J60" s="1107"/>
      <c r="K60" s="1107"/>
      <c r="L60" s="1107"/>
      <c r="M60" s="1107"/>
      <c r="N60" s="1107"/>
      <c r="O60" s="1107"/>
      <c r="P60" s="1107"/>
      <c r="Q60" s="1057"/>
      <c r="R60" s="1057"/>
      <c r="S60" s="1057"/>
      <c r="T60" s="1057"/>
      <c r="U60" s="1057"/>
      <c r="V60" s="1057"/>
      <c r="W60" s="1057"/>
      <c r="X60" s="1057"/>
      <c r="Y60" s="1057"/>
      <c r="Z60" s="1057"/>
      <c r="AA60" s="1057"/>
      <c r="AB60" s="1057"/>
      <c r="AC60" s="1057"/>
      <c r="AD60" s="1057"/>
      <c r="AE60" s="1056"/>
      <c r="AF60" s="1056"/>
      <c r="AG60" s="1056"/>
      <c r="AH60" s="1056"/>
      <c r="AI60" s="1056"/>
      <c r="AJ60" s="1056"/>
      <c r="AK60" s="1056"/>
      <c r="AL60" s="1056"/>
      <c r="AM60" s="1056"/>
      <c r="AN60" s="1056"/>
      <c r="AO60" s="1056"/>
      <c r="AP60" s="1056"/>
      <c r="AQ60" s="1056"/>
      <c r="AR60" s="1056"/>
      <c r="AS60" s="1056"/>
      <c r="AT60" s="1056"/>
      <c r="AU60" s="1056"/>
      <c r="AV60" s="1056"/>
      <c r="AW60" s="1056"/>
      <c r="AX60" s="1056"/>
      <c r="AY60" s="1056"/>
      <c r="AZ60" s="1056"/>
      <c r="BA60" s="1056"/>
      <c r="BB60" s="1056"/>
      <c r="BC60" s="1056"/>
    </row>
    <row r="61" spans="1:55" ht="42" customHeight="1" x14ac:dyDescent="0.3">
      <c r="A61" s="223"/>
      <c r="B61" s="959" t="s">
        <v>1855</v>
      </c>
      <c r="C61" s="1819">
        <v>27</v>
      </c>
      <c r="D61" s="1846" t="s">
        <v>721</v>
      </c>
      <c r="E61" s="1819" t="s">
        <v>326</v>
      </c>
      <c r="F61" s="1819" t="s">
        <v>332</v>
      </c>
      <c r="G61" s="1821" t="str">
        <f>IF('Звіт   4,5,6'!E43=0,"Дані не введено",IF(OR(H62=0,H62&gt;=50),"ПРАВДА","ПОМИЛКА"))</f>
        <v>ПРАВДА</v>
      </c>
      <c r="H61" s="1212" t="s">
        <v>546</v>
      </c>
      <c r="I61" s="1107"/>
      <c r="J61" s="1071"/>
      <c r="K61" s="1071"/>
      <c r="L61" s="1071"/>
      <c r="M61" s="1107"/>
      <c r="N61" s="1107"/>
      <c r="O61" s="1107"/>
      <c r="P61" s="1107"/>
      <c r="Q61" s="1057"/>
      <c r="R61" s="1057"/>
      <c r="S61" s="1057"/>
      <c r="T61" s="1057"/>
      <c r="U61" s="1057"/>
      <c r="V61" s="1057"/>
      <c r="W61" s="1051"/>
      <c r="X61" s="1057"/>
      <c r="Y61" s="1057"/>
      <c r="Z61" s="1057"/>
      <c r="AA61" s="1057"/>
      <c r="AB61" s="1057"/>
      <c r="AC61" s="1057"/>
      <c r="AD61" s="1057"/>
      <c r="AE61" s="1056"/>
      <c r="AF61" s="1056"/>
      <c r="AG61" s="1056"/>
      <c r="AH61" s="1056"/>
      <c r="AI61" s="1056"/>
      <c r="AJ61" s="1056"/>
      <c r="AK61" s="1056"/>
      <c r="AL61" s="1056"/>
      <c r="AM61" s="1056"/>
      <c r="AN61" s="1056"/>
      <c r="AO61" s="1056"/>
      <c r="AP61" s="1056"/>
      <c r="AQ61" s="1056"/>
      <c r="AR61" s="1056"/>
      <c r="AS61" s="1056"/>
      <c r="AT61" s="1056"/>
      <c r="AU61" s="1056"/>
      <c r="AV61" s="1056"/>
      <c r="AW61" s="1056"/>
      <c r="AX61" s="1056"/>
      <c r="AY61" s="1056"/>
      <c r="AZ61" s="1056"/>
      <c r="BA61" s="1056"/>
      <c r="BB61" s="1056"/>
      <c r="BC61" s="1056"/>
    </row>
    <row r="62" spans="1:55" ht="25.15" customHeight="1" x14ac:dyDescent="0.3">
      <c r="A62" s="223"/>
      <c r="B62" s="959"/>
      <c r="C62" s="1819"/>
      <c r="D62" s="1846"/>
      <c r="E62" s="1819"/>
      <c r="F62" s="1819"/>
      <c r="G62" s="1821"/>
      <c r="H62" s="1295">
        <f>'Звіт   4,5,6'!H28</f>
        <v>266310</v>
      </c>
      <c r="I62" s="1071"/>
      <c r="J62" s="1071"/>
      <c r="K62" s="1071"/>
      <c r="L62" s="1071"/>
      <c r="M62" s="1056"/>
      <c r="N62" s="1056"/>
      <c r="O62" s="1119"/>
      <c r="P62" s="1107"/>
      <c r="Q62" s="1057"/>
      <c r="R62" s="1057"/>
      <c r="S62" s="1057"/>
      <c r="T62" s="1057"/>
      <c r="U62" s="1057"/>
      <c r="V62" s="1057"/>
      <c r="W62" s="1051"/>
      <c r="X62" s="1057"/>
      <c r="Y62" s="1057"/>
      <c r="Z62" s="1057"/>
      <c r="AA62" s="1057"/>
      <c r="AB62" s="1057"/>
      <c r="AC62" s="1057"/>
      <c r="AD62" s="1057"/>
      <c r="AE62" s="1056"/>
      <c r="AF62" s="1056"/>
      <c r="AG62" s="1056"/>
      <c r="AH62" s="1056"/>
      <c r="AI62" s="1056"/>
      <c r="AJ62" s="1056"/>
      <c r="AK62" s="1056"/>
      <c r="AL62" s="1056"/>
      <c r="AM62" s="1056"/>
      <c r="AN62" s="1056"/>
      <c r="AO62" s="1056"/>
      <c r="AP62" s="1056"/>
      <c r="AQ62" s="1056"/>
      <c r="AR62" s="1056"/>
      <c r="AS62" s="1056"/>
      <c r="AT62" s="1056"/>
      <c r="AU62" s="1056"/>
      <c r="AV62" s="1056"/>
      <c r="AW62" s="1056"/>
      <c r="AX62" s="1056"/>
      <c r="AY62" s="1056"/>
      <c r="AZ62" s="1056"/>
      <c r="BA62" s="1056"/>
      <c r="BB62" s="1056"/>
      <c r="BC62" s="1056"/>
    </row>
    <row r="63" spans="1:55" ht="78.75" customHeight="1" x14ac:dyDescent="0.25">
      <c r="A63" s="223"/>
      <c r="B63" s="223"/>
      <c r="C63" s="1085"/>
      <c r="D63" s="1113"/>
      <c r="E63" s="1086"/>
      <c r="F63" s="1086"/>
      <c r="G63" s="1051"/>
      <c r="H63" s="1118"/>
      <c r="I63" s="1118"/>
      <c r="J63" s="1097"/>
      <c r="K63" s="1815" t="s">
        <v>1210</v>
      </c>
      <c r="L63" s="1815"/>
      <c r="M63" s="1815" t="s">
        <v>1327</v>
      </c>
      <c r="N63" s="1815"/>
      <c r="O63" s="1815"/>
      <c r="P63" s="1815"/>
      <c r="Q63" s="1815"/>
      <c r="R63" s="1815"/>
      <c r="S63" s="1815" t="s">
        <v>1334</v>
      </c>
      <c r="T63" s="1815"/>
      <c r="U63" s="1815"/>
      <c r="V63" s="1815"/>
      <c r="W63" s="1815"/>
      <c r="X63" s="1815"/>
      <c r="Y63" s="1815"/>
      <c r="Z63" s="1815" t="s">
        <v>926</v>
      </c>
      <c r="AA63" s="1815"/>
      <c r="AB63" s="1815"/>
      <c r="AC63" s="1815"/>
      <c r="AD63" s="1815" t="s">
        <v>927</v>
      </c>
      <c r="AE63" s="1815"/>
      <c r="AF63" s="1815"/>
      <c r="AG63" s="1815"/>
      <c r="AH63" s="1056"/>
      <c r="AI63" s="1056"/>
      <c r="AJ63" s="1056"/>
      <c r="AK63" s="1056"/>
      <c r="AL63" s="1056"/>
      <c r="AM63" s="1056"/>
      <c r="AN63" s="1056"/>
      <c r="AO63" s="1056"/>
      <c r="AP63" s="1056"/>
      <c r="AQ63" s="1056"/>
      <c r="AR63" s="1056"/>
      <c r="AS63" s="1056"/>
      <c r="AT63" s="1056"/>
      <c r="AU63" s="1056"/>
      <c r="AV63" s="1056"/>
      <c r="AW63" s="1056"/>
      <c r="AX63" s="1056"/>
      <c r="AY63" s="1056"/>
      <c r="AZ63" s="1056"/>
      <c r="BA63" s="1056"/>
      <c r="BB63" s="1056"/>
      <c r="BC63" s="1056"/>
    </row>
    <row r="64" spans="1:55" ht="99" customHeight="1" x14ac:dyDescent="0.3">
      <c r="A64" s="223"/>
      <c r="B64" s="959" t="s">
        <v>1856</v>
      </c>
      <c r="C64" s="1819">
        <v>28</v>
      </c>
      <c r="D64" s="1856" t="s">
        <v>1879</v>
      </c>
      <c r="E64" s="1819" t="s">
        <v>326</v>
      </c>
      <c r="F64" s="1819" t="s">
        <v>332</v>
      </c>
      <c r="G64" s="1821" t="str">
        <f>IF('Звіт   4,5,6'!E43=0,"Дані не введено",IF(AND(H65="ПРАВДА",I65="ПРАВДА",J65="ПРАВДА",K65="ПРАВДА",L65="ПРАВДА",Z65&gt;=0,AA65&gt;=0,AB65&gt;=0,AC65&gt;=0,AD65&gt;=0,AE65&gt;=0,AF65&gt;=0,AG65&gt;=0,R65="ПРАВДА",Y65="ПРАВДА"),"ПРАВДА","ПОМИЛКА"))</f>
        <v>ПРАВДА</v>
      </c>
      <c r="H64" s="1212" t="s">
        <v>1349</v>
      </c>
      <c r="I64" s="1212" t="s">
        <v>1141</v>
      </c>
      <c r="J64" s="1212" t="s">
        <v>1142</v>
      </c>
      <c r="K64" s="1228" t="s">
        <v>1146</v>
      </c>
      <c r="L64" s="1228" t="s">
        <v>1147</v>
      </c>
      <c r="M64" s="1228" t="s">
        <v>1364</v>
      </c>
      <c r="N64" s="1228" t="s">
        <v>1365</v>
      </c>
      <c r="O64" s="1228" t="s">
        <v>1363</v>
      </c>
      <c r="P64" s="1228" t="s">
        <v>1350</v>
      </c>
      <c r="Q64" s="1228" t="s">
        <v>1351</v>
      </c>
      <c r="R64" s="1331"/>
      <c r="S64" s="1228" t="s">
        <v>1330</v>
      </c>
      <c r="T64" s="1228" t="s">
        <v>1328</v>
      </c>
      <c r="U64" s="1228" t="s">
        <v>1331</v>
      </c>
      <c r="V64" s="1228" t="s">
        <v>1329</v>
      </c>
      <c r="W64" s="1127" t="s">
        <v>1332</v>
      </c>
      <c r="X64" s="1127" t="s">
        <v>1333</v>
      </c>
      <c r="Y64" s="1332"/>
      <c r="Z64" s="1128" t="str">
        <f>AD64</f>
        <v>Безоплатно отримані</v>
      </c>
      <c r="AA64" s="1128" t="str">
        <f>AE64</f>
        <v>Отримані як цільове фінансування</v>
      </c>
      <c r="AB64" s="1128" t="str">
        <f>AF64</f>
        <v>Отримано як статутний капітал</v>
      </c>
      <c r="AC64" s="1128" t="str">
        <f>AG64</f>
        <v>Інше (ПМГ та власні кошти)*
* якщо є переміщення ТМЦ з складу  "Інше" 20+ (Кт) на склад "цільове фінансування, благодійна допомога, пацієнт"  20 ЦФ Пц (Дт), то дані відображаються тільки на складі "цільове фінансування, благодійна допомога, пацієнт"  20 ЦФ Пц (Дт)</v>
      </c>
      <c r="AD64" s="1128" t="str">
        <f>'Звіт 10, 11,12,13,14'!AE8</f>
        <v>Безоплатно отримані</v>
      </c>
      <c r="AE64" s="1128" t="str">
        <f>'Звіт 10, 11,12,13,14'!AF8</f>
        <v>Отримані як цільове фінансування</v>
      </c>
      <c r="AF64" s="1128" t="str">
        <f>'Звіт 10, 11,12,13,14'!AG8</f>
        <v>Отримано як статутний капітал</v>
      </c>
      <c r="AG64" s="1128" t="str">
        <f>'Звіт 10, 11,12,13,14'!AH8</f>
        <v>Інше (ПМГ та власні кошти)*
* якщо є переміщення ТМЦ з складу  "Інше" 20+ (Кт) на склад "цільове фінансування, благодійна допомога, пацієнт"  20 ЦФ Пц (Дт), то дані відображаються тільки на складі "цільове фінансування, благодійна допомога, пацієнт"  20 ЦФ Пц (Дт)</v>
      </c>
      <c r="AH64" s="1056"/>
      <c r="AI64" s="1056"/>
      <c r="AJ64" s="1056"/>
      <c r="AK64" s="1056"/>
      <c r="AL64" s="1056"/>
      <c r="AM64" s="1056"/>
      <c r="AN64" s="1056"/>
      <c r="AO64" s="1056"/>
      <c r="AP64" s="1056"/>
      <c r="AQ64" s="1056"/>
      <c r="AR64" s="1056"/>
      <c r="AS64" s="1056"/>
      <c r="AT64" s="1056"/>
      <c r="AU64" s="1056"/>
      <c r="AV64" s="1056"/>
      <c r="AW64" s="1056"/>
      <c r="AX64" s="1056"/>
      <c r="AY64" s="1056"/>
      <c r="AZ64" s="1056"/>
      <c r="BA64" s="1056"/>
      <c r="BB64" s="1056"/>
      <c r="BC64" s="1056"/>
    </row>
    <row r="65" spans="1:55" ht="87.75" customHeight="1" x14ac:dyDescent="0.25">
      <c r="A65" s="223"/>
      <c r="B65" s="223"/>
      <c r="C65" s="1819"/>
      <c r="D65" s="1856"/>
      <c r="E65" s="1819"/>
      <c r="F65" s="1819"/>
      <c r="G65" s="1821"/>
      <c r="H65" s="1214" t="str">
        <f>IF('Звіт   4,5,6'!E43=0,"Дані не введено",IF(AND('Звіт 10, 11,12,13,14'!P67="ПРАВДА",'Звіт 10, 11,12,13,14'!P69="ПРАВДА",'Звіт 10, 11,12,13,14'!P72="ПРАВДА"),"ПРАВДА","ПОМИЛКА"))</f>
        <v>ПРАВДА</v>
      </c>
      <c r="I65" s="1214" t="str">
        <f>IF('Звіт   4,5,6'!E43=0,"Дані не введено",IF(AND('Звіт 10, 11,12,13,14'!S67="ПРАВДА",'Звіт 10, 11,12,13,14'!S69="ПРАВДА",'Звіт 10, 11,12,13,14'!S72="ПРАВДА"),"ПРАВДА","ПОМИЛКА"))</f>
        <v>ПРАВДА</v>
      </c>
      <c r="J65" s="1214" t="str">
        <f>IF('Звіт   4,5,6'!E43=0,"Дані не введено",IF(AND('Звіт 10, 11,12,13,14'!Z67="ПРАВДА",'Звіт 10, 11,12,13,14'!Z69="ПРАВДА",'Звіт 10, 11,12,13,14'!Z72="ПРАВДА"),"ПРАВДА","ПОМИЛКА"))</f>
        <v>ПРАВДА</v>
      </c>
      <c r="K65" s="1214" t="str">
        <f>IF('Звіт   4,5,6'!E43=0,"Дані не введено",IF(AND(('Звіт   9'!H58+'Звіт   9'!H65)&gt;0,('Звіт 10, 11,12,13,14'!K11+'Звіт 10, 11,12,13,14'!K21)&gt;0),"ПРАВДА",IF(AND(('Звіт   9'!H58+'Звіт   9'!H65)=0,('Звіт 10, 11,12,13,14'!K11+'Звіт 10, 11,12,13,14'!K21)=0),"ПРАВДА","ПОМИЛКА")))</f>
        <v>ПРАВДА</v>
      </c>
      <c r="L65" s="1214" t="str">
        <f>IF('Звіт   4,5,6'!E43=0,"Дані не введено",IF(AND(('Звіт   9'!K58+'Звіт   9'!K65)&gt;0,('Звіт 10, 11,12,13,14'!AG11+'Звіт 10, 11,12,13,14'!AG21)&gt;0),"ПРАВДА",IF(AND(('Звіт   9'!K58+'Звіт   9'!K65)=0,('Звіт 10, 11,12,13,14'!AG11+'Звіт 10, 11,12,13,14'!AG21)=0),"ПРАВДА","ПОМИЛКА")))</f>
        <v>ПРАВДА</v>
      </c>
      <c r="M65" s="1268">
        <f>'Звіт   9'!H58+'Звіт   9'!H65</f>
        <v>24482.1</v>
      </c>
      <c r="N65" s="1268">
        <f>'Звіт   9'!K58+'Звіт   9'!K65</f>
        <v>24419.1</v>
      </c>
      <c r="O65" s="1268">
        <f>('Звіт   9'!H58+'Звіт   9'!H65-'Звіт   9'!K58-'Звіт   9'!K65)</f>
        <v>63</v>
      </c>
      <c r="P65" s="1268">
        <f>ROUND(('Звіт 10, 11,12,13,14'!I43/1000),3)</f>
        <v>0</v>
      </c>
      <c r="Q65" s="1268">
        <f>ROUND(('Звіт 10, 11,12,13,14'!I49/1000),3)</f>
        <v>63</v>
      </c>
      <c r="R65" s="1214" t="str">
        <f>IF('Звіт   4,5,6'!E43=0,"Дані не введено",IF(AND(O65&gt;0,OR(P65&gt;0,Q65&gt;0),R66=0),"ПРАВДА",IF(AND(O65&lt;=0,P65=0,Q65=0),"ПРАВДА",IF(R66=1,"ПРАВДА","ПОМИЛКА"))))</f>
        <v>ПРАВДА</v>
      </c>
      <c r="S65" s="1268">
        <f>ROUND(('Звіт   9'!H58+'Звіт   9'!H65),1)</f>
        <v>24482.1</v>
      </c>
      <c r="T65" s="1214">
        <f>ROUND((('Звіт 10, 11,12,13,14'!K21-'Звіт 10, 11,12,13,14'!K22)/1000),1)</f>
        <v>24482.1</v>
      </c>
      <c r="U65" s="1268">
        <f>ROUND(('Звіт   9'!K58+'Звіт   9'!K65),1)</f>
        <v>24419.1</v>
      </c>
      <c r="V65" s="1214">
        <f>ROUND((('Звіт 10, 11,12,13,14'!AG21-'Звіт 10, 11,12,13,14'!AG22)/1000),1)</f>
        <v>24378.1</v>
      </c>
      <c r="W65" s="1333">
        <f>ROUND((S65-T65),1)</f>
        <v>0</v>
      </c>
      <c r="X65" s="1333">
        <f>ROUND((U65-V65),1)</f>
        <v>41</v>
      </c>
      <c r="Y65" s="1214" t="str">
        <f>IF('Звіт   4,5,6'!E43=0,"Дані не введено",IF(AND(S66="ПРАВДА",U66="ПРАВДА",Y66=0,W65&gt;=0,X65&gt;=0),"ПРАВДА",IF(Y66=1,"ПРАВДА","ПОМИЛКА")))</f>
        <v>ПРАВДА</v>
      </c>
      <c r="Z65" s="1268">
        <f>'Звіт 10, 11,12,13,14'!G10+'Звіт 10, 11,12,13,14'!G19</f>
        <v>23681096</v>
      </c>
      <c r="AA65" s="1268">
        <f>'Звіт 10, 11,12,13,14'!I10+'Звіт 10, 11,12,13,14'!I19</f>
        <v>244911</v>
      </c>
      <c r="AB65" s="1268">
        <f>'Звіт 10, 11,12,13,14'!K10+'Звіт 10, 11,12,13,14'!K19</f>
        <v>24482085</v>
      </c>
      <c r="AC65" s="1268">
        <f>'Звіт 10, 11,12,13,14'!L10+'Звіт 10, 11,12,13,14'!L19</f>
        <v>0</v>
      </c>
      <c r="AD65" s="1268">
        <f>'Звіт 10, 11,12,13,14'!AE10+'Звіт 10, 11,12,13,14'!AE19</f>
        <v>23414786</v>
      </c>
      <c r="AE65" s="1268">
        <f>'Звіт 10, 11,12,13,14'!AF10+'Звіт 10, 11,12,13,14'!AF19</f>
        <v>1714649</v>
      </c>
      <c r="AF65" s="1268">
        <f>'Звіт 10, 11,12,13,14'!AG10+'Звіт 10, 11,12,13,14'!AG19</f>
        <v>24378085</v>
      </c>
      <c r="AG65" s="1268">
        <f>'Звіт 10, 11,12,13,14'!AH10+'Звіт 10, 11,12,13,14'!AH19</f>
        <v>128274</v>
      </c>
      <c r="AH65" s="1056"/>
      <c r="AI65" s="1056"/>
      <c r="AJ65" s="1056"/>
      <c r="AK65" s="1056"/>
      <c r="AL65" s="1056"/>
      <c r="AM65" s="1056"/>
      <c r="AN65" s="1056"/>
      <c r="AO65" s="1056"/>
      <c r="AP65" s="1056"/>
      <c r="AQ65" s="1056"/>
      <c r="AR65" s="1056"/>
      <c r="AS65" s="1056"/>
      <c r="AT65" s="1056"/>
      <c r="AU65" s="1056"/>
      <c r="AV65" s="1056"/>
      <c r="AW65" s="1056"/>
      <c r="AX65" s="1056"/>
      <c r="AY65" s="1056"/>
      <c r="AZ65" s="1056"/>
      <c r="BA65" s="1056"/>
      <c r="BB65" s="1056"/>
      <c r="BC65" s="1056"/>
    </row>
    <row r="66" spans="1:55" ht="25.5" customHeight="1" x14ac:dyDescent="0.25">
      <c r="A66" s="223"/>
      <c r="B66" s="223"/>
      <c r="C66" s="1085"/>
      <c r="D66" s="1113"/>
      <c r="E66" s="1086"/>
      <c r="F66" s="1086"/>
      <c r="G66" s="1051"/>
      <c r="H66" s="966"/>
      <c r="I66" s="1129" t="str">
        <f>IF(AND((H69-J69)&lt;=1,(H69-J69)&gt;=-1,(I69-K69)&lt;=1,(I69-K69)&gt;=-1,(L69-M69)&lt;=1,(L69-M69)&gt;=-1,(N69-O69)&lt;=1,(N69-O69)&gt;=-1,P69=0),"ПРАВДА","ПОМИЛКА")</f>
        <v>ПРАВДА</v>
      </c>
      <c r="J66" s="1129" t="str">
        <f>IF(AND((H72-(J72+'Звіт 10, 11,12,13,14'!F70/1000))&lt;=1,(H72-(J72+'Звіт 10, 11,12,13,14'!F70/1000))&gt;=-1,(I72-(K72+'Звіт 10, 11,12,13,14'!K70/1000))&lt;=1,(I72-(K72+'Звіт 10, 11,12,13,14'!K70/1000))&gt;=-1,(L72-M72)&lt;=1,(L72-M72)&gt;=-1,(N72-O72)&lt;=1,(N72-O72)&gt;=-1,U72=0),"ПРАВДА","ПОМИЛКА")</f>
        <v>ПРАВДА</v>
      </c>
      <c r="K66" s="1071"/>
      <c r="L66" s="1130"/>
      <c r="M66" s="1056"/>
      <c r="N66" s="1056"/>
      <c r="O66" s="1131"/>
      <c r="P66" s="1107"/>
      <c r="Q66" s="1107"/>
      <c r="R66" s="1132"/>
      <c r="S66" s="1816" t="str">
        <f>IF('Звіт   4,5,6'!E43=0,"Дані не введено",IF(AND(S65=0,T65=0),"ПРАВДА",IF((AND(S65&gt;0,S65&gt;=T65,T65&gt;0,Y66)),"ПРАВДА","ПОМИЛКА")))</f>
        <v>ПРАВДА</v>
      </c>
      <c r="T66" s="1818"/>
      <c r="U66" s="1816" t="str">
        <f>IF('Звіт   4,5,6'!E43=0,"Дані не введено",IF(AND(U65=0,V65=0),"ПРАВДА",IF((AND(U65&gt;0,U65&gt;=V65,V65&gt;0,Y66=0)),"ПРАВДА","ПОМИЛКА")))</f>
        <v>ПРАВДА</v>
      </c>
      <c r="V66" s="1817"/>
      <c r="W66" s="1051"/>
      <c r="X66" s="1051"/>
      <c r="Y66" s="1132"/>
      <c r="Z66" s="1057"/>
      <c r="AA66" s="1057"/>
      <c r="AB66" s="1057"/>
      <c r="AC66" s="1057"/>
      <c r="AD66" s="1057"/>
      <c r="AE66" s="1057"/>
      <c r="AF66" s="1057"/>
      <c r="AG66" s="1056"/>
      <c r="AH66" s="1056"/>
      <c r="AI66" s="1056"/>
      <c r="AJ66" s="1056"/>
      <c r="AK66" s="1056"/>
      <c r="AL66" s="1056"/>
      <c r="AM66" s="1056"/>
      <c r="AN66" s="1056"/>
      <c r="AO66" s="1056"/>
      <c r="AP66" s="1056"/>
      <c r="AQ66" s="1056"/>
      <c r="AR66" s="1056"/>
      <c r="AS66" s="1056"/>
      <c r="AT66" s="1056"/>
      <c r="AU66" s="1056"/>
      <c r="AV66" s="1056"/>
      <c r="AW66" s="1056"/>
      <c r="AX66" s="1056"/>
      <c r="AY66" s="1056"/>
      <c r="AZ66" s="1056"/>
      <c r="BA66" s="1056"/>
      <c r="BB66" s="1056"/>
      <c r="BC66" s="1056"/>
    </row>
    <row r="67" spans="1:55" ht="37.5" x14ac:dyDescent="0.3">
      <c r="A67" s="223"/>
      <c r="B67" s="223"/>
      <c r="C67" s="1822" t="s">
        <v>547</v>
      </c>
      <c r="D67" s="1822"/>
      <c r="E67" s="1822"/>
      <c r="F67" s="1083"/>
      <c r="G67" s="1126"/>
      <c r="H67" s="1820" t="s">
        <v>474</v>
      </c>
      <c r="I67" s="1820"/>
      <c r="J67" s="1820"/>
      <c r="K67" s="1820"/>
      <c r="L67" s="1833" t="s">
        <v>498</v>
      </c>
      <c r="M67" s="1833"/>
      <c r="N67" s="1833" t="s">
        <v>495</v>
      </c>
      <c r="O67" s="1833"/>
      <c r="P67" s="1220" t="s">
        <v>480</v>
      </c>
      <c r="Q67" s="1334" t="s">
        <v>672</v>
      </c>
      <c r="R67" s="1057"/>
      <c r="S67" s="1057"/>
      <c r="T67" s="1056"/>
      <c r="U67" s="1057"/>
      <c r="V67" s="1057"/>
      <c r="W67" s="1057"/>
      <c r="X67" s="1057"/>
      <c r="Y67" s="1057"/>
      <c r="Z67" s="1057"/>
      <c r="AA67" s="1057"/>
      <c r="AB67" s="1057"/>
      <c r="AC67" s="1057"/>
      <c r="AD67" s="1057"/>
      <c r="AE67" s="1056"/>
      <c r="AF67" s="1056"/>
      <c r="AG67" s="1056"/>
      <c r="AH67" s="1056"/>
      <c r="AI67" s="1056"/>
      <c r="AJ67" s="1056"/>
      <c r="AK67" s="1056"/>
      <c r="AL67" s="1056"/>
      <c r="AM67" s="1056"/>
      <c r="AN67" s="1056"/>
      <c r="AO67" s="1056"/>
      <c r="AP67" s="1056"/>
      <c r="AQ67" s="1056"/>
      <c r="AR67" s="1056"/>
      <c r="AS67" s="1056"/>
      <c r="AT67" s="1056"/>
      <c r="AU67" s="1056"/>
      <c r="AV67" s="1056"/>
      <c r="AW67" s="1056"/>
      <c r="AX67" s="1056"/>
      <c r="AY67" s="1056"/>
      <c r="AZ67" s="1056"/>
      <c r="BA67" s="1056"/>
      <c r="BB67" s="1056"/>
      <c r="BC67" s="1056"/>
    </row>
    <row r="68" spans="1:55" ht="124.9" customHeight="1" x14ac:dyDescent="0.25">
      <c r="A68" s="223"/>
      <c r="B68" s="1278" t="s">
        <v>1857</v>
      </c>
      <c r="C68" s="1819">
        <v>29</v>
      </c>
      <c r="D68" s="1846" t="s">
        <v>548</v>
      </c>
      <c r="E68" s="1819" t="s">
        <v>326</v>
      </c>
      <c r="F68" s="1819" t="s">
        <v>332</v>
      </c>
      <c r="G68" s="1821" t="str">
        <f>IF('Звіт   4,5,6'!E43=0,"Дані не введено",IF(OR(Q69&lt;0,G28="ПОМИЛКА",G64="ПОМИЛКА",L69&lt;0,N69&lt;-1),"ПОМИЛКА",IF(AND(H69&gt;0,'Звіт   4,5,6'!H27=0),"ПОМИЛКА","ПРАВДА")))</f>
        <v>ПРАВДА</v>
      </c>
      <c r="H68" s="1212" t="s">
        <v>549</v>
      </c>
      <c r="I68" s="1212" t="s">
        <v>550</v>
      </c>
      <c r="J68" s="1212" t="s">
        <v>551</v>
      </c>
      <c r="K68" s="1212" t="s">
        <v>552</v>
      </c>
      <c r="L68" s="1212" t="s">
        <v>663</v>
      </c>
      <c r="M68" s="1212" t="s">
        <v>476</v>
      </c>
      <c r="N68" s="1212" t="s">
        <v>671</v>
      </c>
      <c r="O68" s="1212" t="s">
        <v>477</v>
      </c>
      <c r="P68" s="1212" t="s">
        <v>481</v>
      </c>
      <c r="Q68" s="1212" t="s">
        <v>633</v>
      </c>
      <c r="R68" s="1133"/>
      <c r="S68" s="1133"/>
      <c r="T68" s="1056"/>
      <c r="U68" s="1057"/>
      <c r="V68" s="1057"/>
      <c r="W68" s="1057"/>
      <c r="X68" s="1057"/>
      <c r="Y68" s="1057"/>
      <c r="Z68" s="1057"/>
      <c r="AA68" s="1057"/>
      <c r="AB68" s="1057"/>
      <c r="AC68" s="1057"/>
      <c r="AD68" s="1057"/>
      <c r="AE68" s="1056"/>
      <c r="AF68" s="1056"/>
      <c r="AG68" s="1056"/>
      <c r="AH68" s="1056"/>
      <c r="AI68" s="1056"/>
      <c r="AJ68" s="1056"/>
      <c r="AK68" s="1056"/>
      <c r="AL68" s="1056"/>
      <c r="AM68" s="1056"/>
      <c r="AN68" s="1056"/>
      <c r="AO68" s="1056"/>
      <c r="AP68" s="1056"/>
      <c r="AQ68" s="1056"/>
      <c r="AR68" s="1056"/>
      <c r="AS68" s="1056"/>
      <c r="AT68" s="1056"/>
      <c r="AU68" s="1056"/>
      <c r="AV68" s="1056"/>
      <c r="AW68" s="1056"/>
      <c r="AX68" s="1056"/>
      <c r="AY68" s="1056"/>
      <c r="AZ68" s="1056"/>
      <c r="BA68" s="1056"/>
      <c r="BB68" s="1056"/>
      <c r="BC68" s="1056"/>
    </row>
    <row r="69" spans="1:55" x14ac:dyDescent="0.25">
      <c r="A69" s="223"/>
      <c r="B69" s="1278"/>
      <c r="C69" s="1819"/>
      <c r="D69" s="1846"/>
      <c r="E69" s="1819"/>
      <c r="F69" s="1819"/>
      <c r="G69" s="1821"/>
      <c r="H69" s="1295">
        <f>ROUND('Звіт   9'!H98,1)</f>
        <v>244.9</v>
      </c>
      <c r="I69" s="1295">
        <f>ROUND('Звіт   9'!K98,1)</f>
        <v>1714.6</v>
      </c>
      <c r="J69" s="1295">
        <f>ROUND('Звіт 10, 11,12,13,14'!F72/1000,1)</f>
        <v>244.9</v>
      </c>
      <c r="K69" s="1295">
        <f>ROUND('Звіт 10, 11,12,13,14'!K72/1000,1)</f>
        <v>1714.6</v>
      </c>
      <c r="L69" s="1295">
        <f>ROUND(('Звіт   4,5,6'!H27+'Звіт 10, 11,12,13,14'!I80)/1000,1)</f>
        <v>481.6</v>
      </c>
      <c r="M69" s="1295">
        <f>ROUND(('Звіт 10, 11,12,13,14'!F100)/1000,1)</f>
        <v>481.6</v>
      </c>
      <c r="N69" s="1295">
        <f>ROUND((I69-H69+L69),1)</f>
        <v>1951.3</v>
      </c>
      <c r="O69" s="1295">
        <f>ROUND('Звіт 10, 11,12,13,14'!N100/1000,1)</f>
        <v>1951.3</v>
      </c>
      <c r="P69" s="1295">
        <f>ROUND(('Звіт 10, 11,12,13,14'!L100+'Звіт 10, 11,12,13,14'!M100+'Звіт 10, 11,12,13,14'!P100),1)</f>
        <v>0</v>
      </c>
      <c r="Q69" s="1295">
        <f>'Звіт 10, 11,12,13,14'!I80/1000</f>
        <v>381.3</v>
      </c>
      <c r="R69" s="1118"/>
      <c r="S69" s="1118"/>
      <c r="T69" s="1057"/>
      <c r="U69" s="1057"/>
      <c r="V69" s="1057"/>
      <c r="W69" s="1057"/>
      <c r="X69" s="1057"/>
      <c r="Y69" s="1057"/>
      <c r="Z69" s="1057"/>
      <c r="AA69" s="1057"/>
      <c r="AB69" s="1057"/>
      <c r="AC69" s="1057"/>
      <c r="AD69" s="1057"/>
      <c r="AE69" s="1056"/>
      <c r="AF69" s="1056"/>
      <c r="AG69" s="1056"/>
      <c r="AH69" s="1056"/>
      <c r="AI69" s="1056"/>
      <c r="AJ69" s="1056"/>
      <c r="AK69" s="1056"/>
      <c r="AL69" s="1056"/>
      <c r="AM69" s="1056"/>
      <c r="AN69" s="1056"/>
      <c r="AO69" s="1056"/>
      <c r="AP69" s="1056"/>
      <c r="AQ69" s="1056"/>
      <c r="AR69" s="1056"/>
      <c r="AS69" s="1056"/>
      <c r="AT69" s="1056"/>
      <c r="AU69" s="1056"/>
      <c r="AV69" s="1056"/>
      <c r="AW69" s="1056"/>
      <c r="AX69" s="1056"/>
      <c r="AY69" s="1056"/>
      <c r="AZ69" s="1056"/>
      <c r="BA69" s="1056"/>
      <c r="BB69" s="1056"/>
      <c r="BC69" s="1056"/>
    </row>
    <row r="70" spans="1:55" x14ac:dyDescent="0.3">
      <c r="A70" s="223"/>
      <c r="B70" s="1278"/>
      <c r="C70" s="1102"/>
      <c r="D70" s="1134"/>
      <c r="E70" s="1086"/>
      <c r="F70" s="1086"/>
      <c r="G70" s="1051"/>
      <c r="H70" s="1118"/>
      <c r="I70" s="1118"/>
      <c r="J70" s="1118"/>
      <c r="K70" s="1118"/>
      <c r="L70" s="1118"/>
      <c r="M70" s="1118"/>
      <c r="N70" s="1088"/>
      <c r="O70" s="1088"/>
      <c r="P70" s="1088"/>
      <c r="Q70" s="1118"/>
      <c r="R70" s="1118"/>
      <c r="S70" s="1118"/>
      <c r="T70" s="1080"/>
      <c r="U70" s="1080"/>
      <c r="V70" s="1135"/>
      <c r="W70" s="1080"/>
      <c r="X70" s="1080"/>
      <c r="Y70" s="1080"/>
      <c r="Z70" s="1080"/>
      <c r="AA70" s="1080"/>
      <c r="AB70" s="1080"/>
      <c r="AC70" s="1080"/>
      <c r="AD70" s="1080"/>
      <c r="AE70" s="1056"/>
      <c r="AF70" s="1056"/>
      <c r="AG70" s="1056"/>
      <c r="AH70" s="1056"/>
      <c r="AI70" s="1056"/>
      <c r="AJ70" s="1056"/>
      <c r="AK70" s="1056"/>
      <c r="AL70" s="1056"/>
      <c r="AM70" s="1056"/>
      <c r="AN70" s="1056"/>
      <c r="AO70" s="1056"/>
      <c r="AP70" s="1056"/>
      <c r="AQ70" s="1056"/>
      <c r="AR70" s="1056"/>
      <c r="AS70" s="1056"/>
      <c r="AT70" s="1056"/>
      <c r="AU70" s="1056"/>
      <c r="AV70" s="1056"/>
      <c r="AW70" s="1056"/>
      <c r="AX70" s="1056"/>
      <c r="AY70" s="1056"/>
      <c r="AZ70" s="1056"/>
      <c r="BA70" s="1056"/>
      <c r="BB70" s="1056"/>
      <c r="BC70" s="1056"/>
    </row>
    <row r="71" spans="1:55" ht="160.5" customHeight="1" x14ac:dyDescent="0.25">
      <c r="A71" s="223"/>
      <c r="B71" s="1278" t="s">
        <v>1858</v>
      </c>
      <c r="C71" s="1819">
        <v>30</v>
      </c>
      <c r="D71" s="1856" t="s">
        <v>1921</v>
      </c>
      <c r="E71" s="1819" t="s">
        <v>326</v>
      </c>
      <c r="F71" s="1819" t="s">
        <v>332</v>
      </c>
      <c r="G71" s="1821" t="str">
        <f>IF('Звіт   4,5,6'!E43=0,"Дані не введено",IF(OR(V72&lt;0,G68="ПОМИЛКА",G58="ПОМИЛКА",J66="ПОМИЛКА",G61="ПОМИЛКА",G64="ПОМИЛКА"),"ПОМИЛКА",IF(OR(N72&lt;-1,Q72&lt;0,T72&lt;0,L72&lt;0),"ПОМИЛКА",IF(AND(J72&gt;0,'Звіт   4,5,6'!H28=0),"ПОМИЛКА","ПРАВДА"))))</f>
        <v>ПРАВДА</v>
      </c>
      <c r="H71" s="1212" t="s">
        <v>1128</v>
      </c>
      <c r="I71" s="1212" t="s">
        <v>1129</v>
      </c>
      <c r="J71" s="1228" t="s">
        <v>1130</v>
      </c>
      <c r="K71" s="1228" t="s">
        <v>1131</v>
      </c>
      <c r="L71" s="1212" t="s">
        <v>1090</v>
      </c>
      <c r="M71" s="1212" t="s">
        <v>496</v>
      </c>
      <c r="N71" s="1270" t="s">
        <v>664</v>
      </c>
      <c r="O71" s="1212" t="s">
        <v>497</v>
      </c>
      <c r="P71" s="1212" t="s">
        <v>713</v>
      </c>
      <c r="Q71" s="1212" t="s">
        <v>1920</v>
      </c>
      <c r="R71" s="1212" t="s">
        <v>493</v>
      </c>
      <c r="S71" s="1212" t="s">
        <v>553</v>
      </c>
      <c r="T71" s="1212" t="s">
        <v>1181</v>
      </c>
      <c r="U71" s="1213" t="s">
        <v>665</v>
      </c>
      <c r="V71" s="1213" t="s">
        <v>1132</v>
      </c>
      <c r="W71" s="1057"/>
      <c r="X71" s="1057"/>
      <c r="Y71" s="1057"/>
      <c r="Z71" s="1057"/>
      <c r="AA71" s="1057"/>
      <c r="AB71" s="1057"/>
      <c r="AC71" s="1057"/>
      <c r="AD71" s="1057"/>
      <c r="AE71" s="1056"/>
      <c r="AF71" s="1056"/>
      <c r="AG71" s="1056"/>
      <c r="AH71" s="1056"/>
      <c r="AI71" s="1056"/>
      <c r="AJ71" s="1056"/>
      <c r="AK71" s="1056"/>
      <c r="AL71" s="1056"/>
      <c r="AM71" s="1056"/>
      <c r="AN71" s="1056"/>
      <c r="AO71" s="1056"/>
      <c r="AP71" s="1056"/>
      <c r="AQ71" s="1056"/>
      <c r="AR71" s="1056"/>
      <c r="AS71" s="1056"/>
      <c r="AT71" s="1056"/>
      <c r="AU71" s="1056"/>
      <c r="AV71" s="1056"/>
      <c r="AW71" s="1056"/>
      <c r="AX71" s="1056"/>
      <c r="AY71" s="1056"/>
      <c r="AZ71" s="1056"/>
      <c r="BA71" s="1056"/>
      <c r="BB71" s="1056"/>
      <c r="BC71" s="1056"/>
    </row>
    <row r="72" spans="1:55" ht="40.5" customHeight="1" x14ac:dyDescent="0.25">
      <c r="A72" s="223"/>
      <c r="B72" s="1278"/>
      <c r="C72" s="1819"/>
      <c r="D72" s="1856"/>
      <c r="E72" s="1819"/>
      <c r="F72" s="1819"/>
      <c r="G72" s="1821"/>
      <c r="H72" s="1295">
        <f>ROUND('Звіт   9'!H61,1)</f>
        <v>23681.1</v>
      </c>
      <c r="I72" s="1295">
        <f>ROUND('Звіт   9'!K61,1)</f>
        <v>23414.799999999999</v>
      </c>
      <c r="J72" s="1249">
        <f>ROUND(('Звіт 10, 11,12,13,14'!F69-'Звіт 10, 11,12,13,14'!F70)/1000,1)</f>
        <v>23681.1</v>
      </c>
      <c r="K72" s="1249">
        <f>ROUND(('Звіт 10, 11,12,13,14'!K69-'Звіт 10, 11,12,13,14'!K70)/1000,1)</f>
        <v>23414.799999999999</v>
      </c>
      <c r="L72" s="1295">
        <f>ROUND(('Звіт   4,5,6'!H28+'Звіт 10, 11,12,13,14'!I81)/1000,1)</f>
        <v>266.3</v>
      </c>
      <c r="M72" s="1295">
        <f>ROUND('Звіт 10, 11,12,13,14'!F97/1000,1)</f>
        <v>266.3</v>
      </c>
      <c r="N72" s="1335">
        <f>ROUND((I72+L72-H72-'Звіт 10, 11,12,13,14'!J54/1000),1)</f>
        <v>0</v>
      </c>
      <c r="O72" s="1268">
        <f>ROUND('Звіт 10, 11,12,13,14'!N97/1000,1)</f>
        <v>0</v>
      </c>
      <c r="P72" s="1268">
        <f>ROUND(('Звіт 1,2,3'!I19+'Звіт 1,2,3'!J19+'Звіт 1,2,3'!K19+'Звіт 1,2,3'!L19+'Звіт 1,2,3'!M19+'Звіт 1,2,3'!P19)/1000,1)</f>
        <v>20850</v>
      </c>
      <c r="Q72" s="1268">
        <f>ROUND((P72-N72+('Звіт 1,2,3'!T19-'Звіт 1,2,3'!W19)/1000),1)</f>
        <v>20850</v>
      </c>
      <c r="R72" s="1295">
        <f>ROUND('Звіт   9'!H73,1)</f>
        <v>27137.3</v>
      </c>
      <c r="S72" s="1295">
        <f>ROUND('Звіт   9'!K73,1)</f>
        <v>30287.4</v>
      </c>
      <c r="T72" s="1268">
        <f>ROUND((R72-S72+Q72),1)</f>
        <v>17699.900000000001</v>
      </c>
      <c r="U72" s="1268">
        <f>ROUND((('Звіт 10, 11,12,13,14'!L97+'Звіт 10, 11,12,13,14'!M97+'Звіт 10, 11,12,13,14'!P97)/1000),1)</f>
        <v>0</v>
      </c>
      <c r="V72" s="1295">
        <f>ROUND(('Звіт 10, 11,12,13,14'!I81/1000),1)</f>
        <v>0</v>
      </c>
      <c r="W72" s="1057"/>
      <c r="X72" s="1057"/>
      <c r="Y72" s="1057"/>
      <c r="Z72" s="1057"/>
      <c r="AA72" s="1057"/>
      <c r="AB72" s="1057"/>
      <c r="AC72" s="1057"/>
      <c r="AD72" s="1057"/>
      <c r="AE72" s="1056"/>
      <c r="AF72" s="1056"/>
      <c r="AG72" s="1056"/>
      <c r="AH72" s="1056"/>
      <c r="AI72" s="1056"/>
      <c r="AJ72" s="1056"/>
      <c r="AK72" s="1056"/>
      <c r="AL72" s="1056"/>
      <c r="AM72" s="1056"/>
      <c r="AN72" s="1056"/>
      <c r="AO72" s="1056"/>
      <c r="AP72" s="1056"/>
      <c r="AQ72" s="1056"/>
      <c r="AR72" s="1056"/>
      <c r="AS72" s="1056"/>
      <c r="AT72" s="1056"/>
      <c r="AU72" s="1056"/>
      <c r="AV72" s="1056"/>
      <c r="AW72" s="1056"/>
      <c r="AX72" s="1056"/>
      <c r="AY72" s="1056"/>
      <c r="AZ72" s="1056"/>
      <c r="BA72" s="1056"/>
      <c r="BB72" s="1056"/>
      <c r="BC72" s="1056"/>
    </row>
    <row r="73" spans="1:55" ht="126" customHeight="1" x14ac:dyDescent="0.25">
      <c r="A73" s="223"/>
      <c r="B73" s="1278" t="s">
        <v>1859</v>
      </c>
      <c r="C73" s="1819">
        <v>31</v>
      </c>
      <c r="D73" s="1848" t="s">
        <v>1895</v>
      </c>
      <c r="E73" s="1819" t="s">
        <v>326</v>
      </c>
      <c r="F73" s="1819" t="s">
        <v>332</v>
      </c>
      <c r="G73" s="1821" t="str">
        <f>IF('Звіт   4,5,6'!E43=0,"Дані не введено",IF(OR(I74&lt;0,H74&lt;0,N74&lt;0,J74&gt;1,J74&lt;-1,L74&gt;1,L74&lt;-1),"ПОМИЛКА",IF(OR(G71="ПОМИЛКА",G68="ПОМИЛКА",M74="ПОМИЛКА",O74="ПОМИЛКА"),"ПОМИЛКА","ПРАВДА")))</f>
        <v>ПРАВДА</v>
      </c>
      <c r="H73" s="1228" t="s">
        <v>508</v>
      </c>
      <c r="I73" s="1228" t="s">
        <v>1235</v>
      </c>
      <c r="J73" s="1112" t="s">
        <v>554</v>
      </c>
      <c r="K73" s="1212" t="s">
        <v>469</v>
      </c>
      <c r="L73" s="1112" t="s">
        <v>555</v>
      </c>
      <c r="M73" s="1386" t="s">
        <v>1915</v>
      </c>
      <c r="N73" s="1212" t="s">
        <v>1916</v>
      </c>
      <c r="O73" s="1386" t="s">
        <v>1989</v>
      </c>
      <c r="P73" s="1137"/>
      <c r="Q73" s="1137"/>
      <c r="R73" s="1137"/>
      <c r="S73" s="1137"/>
      <c r="T73" s="1118"/>
      <c r="U73" s="1118"/>
      <c r="V73" s="1091"/>
      <c r="W73" s="1091">
        <v>0</v>
      </c>
      <c r="X73" s="1091"/>
      <c r="Y73" s="1091"/>
      <c r="Z73" s="1091"/>
      <c r="AA73" s="1057"/>
      <c r="AB73" s="1057"/>
      <c r="AC73" s="1057"/>
      <c r="AD73" s="1057"/>
      <c r="AE73" s="1056"/>
      <c r="AF73" s="1056"/>
      <c r="AG73" s="1056"/>
      <c r="AH73" s="1056"/>
      <c r="AI73" s="1056"/>
      <c r="AJ73" s="1056"/>
      <c r="AK73" s="1056"/>
      <c r="AL73" s="1056"/>
      <c r="AM73" s="1056"/>
      <c r="AN73" s="1056"/>
      <c r="AO73" s="1056"/>
      <c r="AP73" s="1056"/>
      <c r="AQ73" s="1056"/>
      <c r="AR73" s="1056"/>
      <c r="AS73" s="1056"/>
      <c r="AT73" s="1056"/>
      <c r="AU73" s="1056"/>
      <c r="AV73" s="1056"/>
      <c r="AW73" s="1056"/>
      <c r="AX73" s="1056"/>
      <c r="AY73" s="1056"/>
      <c r="AZ73" s="1056"/>
      <c r="BA73" s="1056"/>
      <c r="BB73" s="1056"/>
      <c r="BC73" s="1056"/>
    </row>
    <row r="74" spans="1:55" ht="33" customHeight="1" x14ac:dyDescent="0.25">
      <c r="A74" s="223"/>
      <c r="B74" s="1278"/>
      <c r="C74" s="1819"/>
      <c r="D74" s="1848"/>
      <c r="E74" s="1819"/>
      <c r="F74" s="1819"/>
      <c r="G74" s="1821"/>
      <c r="H74" s="1100">
        <f>ROUND('Звіт   4,5,6'!H17/1000,1)</f>
        <v>15748.6</v>
      </c>
      <c r="I74" s="1340">
        <f>T72-N69-ROUND((('Звіт 10, 11,12,13,14'!I77+'Звіт 10, 11,12,13,14'!I78+'Звіт 1,2,3'!AB19)/1000),1)</f>
        <v>15748.6</v>
      </c>
      <c r="J74" s="1341">
        <f>ROUND((H74-I74),1)</f>
        <v>0</v>
      </c>
      <c r="K74" s="940">
        <f>ROUND('Звіт   4,5,6'!O42/1000,1)</f>
        <v>15748.6</v>
      </c>
      <c r="L74" s="1341">
        <f>ROUND((H74-K74),1)</f>
        <v>0</v>
      </c>
      <c r="M74" s="1215" t="str">
        <f>'Звіт   4,5,6'!M15</f>
        <v>ПРАВДА</v>
      </c>
      <c r="N74" s="940">
        <f>ROUND(('Звіт 10, 11,12,13,14'!I77/1000),1)</f>
        <v>0</v>
      </c>
      <c r="O74" s="1558" t="str">
        <f>'Звіт   4,5,6'!N15</f>
        <v>ПРАВДА</v>
      </c>
      <c r="P74" s="1136"/>
      <c r="Q74" s="1136"/>
      <c r="R74" s="1136"/>
      <c r="S74" s="1136"/>
      <c r="T74" s="1136"/>
      <c r="U74" s="1136"/>
      <c r="V74" s="1091"/>
      <c r="W74" s="1091"/>
      <c r="X74" s="1091"/>
      <c r="Y74" s="1091"/>
      <c r="Z74" s="1091"/>
      <c r="AA74" s="1057"/>
      <c r="AB74" s="1057"/>
      <c r="AC74" s="1057"/>
      <c r="AD74" s="1057"/>
      <c r="AE74" s="1056"/>
      <c r="AF74" s="1056"/>
      <c r="AG74" s="1056"/>
      <c r="AH74" s="1056"/>
      <c r="AI74" s="1056"/>
      <c r="AJ74" s="1056"/>
      <c r="AK74" s="1056"/>
      <c r="AL74" s="1056"/>
      <c r="AM74" s="1056"/>
      <c r="AN74" s="1056"/>
      <c r="AO74" s="1056"/>
      <c r="AP74" s="1056"/>
      <c r="AQ74" s="1056"/>
      <c r="AR74" s="1056"/>
      <c r="AS74" s="1056"/>
      <c r="AT74" s="1056"/>
      <c r="AU74" s="1056"/>
      <c r="AV74" s="1056"/>
      <c r="AW74" s="1056"/>
      <c r="AX74" s="1056"/>
      <c r="AY74" s="1056"/>
      <c r="AZ74" s="1056"/>
      <c r="BA74" s="1056"/>
      <c r="BB74" s="1056"/>
      <c r="BC74" s="1056"/>
    </row>
    <row r="75" spans="1:55" x14ac:dyDescent="0.25">
      <c r="A75" s="223"/>
      <c r="B75" s="1278"/>
      <c r="C75" s="1085"/>
      <c r="D75" s="267"/>
      <c r="E75" s="1086"/>
      <c r="F75" s="1086"/>
      <c r="G75" s="1051"/>
      <c r="H75" s="1827" t="s">
        <v>1143</v>
      </c>
      <c r="I75" s="1827"/>
      <c r="J75" s="1827"/>
      <c r="K75" s="1827"/>
      <c r="L75" s="1827"/>
      <c r="M75" s="1827"/>
      <c r="N75" s="1827"/>
      <c r="O75" s="1827"/>
      <c r="P75" s="1827"/>
      <c r="Q75" s="1827"/>
      <c r="R75" s="1827"/>
      <c r="S75" s="1827"/>
      <c r="T75" s="1831" t="s">
        <v>1294</v>
      </c>
      <c r="U75" s="1831"/>
      <c r="V75" s="1831"/>
      <c r="W75" s="1137"/>
      <c r="X75" s="1090"/>
      <c r="Y75" s="1090"/>
      <c r="Z75" s="1090"/>
      <c r="AA75" s="1090"/>
      <c r="AB75" s="1090"/>
      <c r="AC75" s="1090"/>
      <c r="AD75" s="1090"/>
      <c r="AE75" s="1056"/>
      <c r="AF75" s="1056"/>
      <c r="AG75" s="1056"/>
      <c r="AH75" s="1056"/>
      <c r="AI75" s="1056"/>
      <c r="AJ75" s="1056"/>
      <c r="AK75" s="1056"/>
      <c r="AL75" s="1056"/>
      <c r="AM75" s="1056"/>
      <c r="AN75" s="1056"/>
      <c r="AO75" s="1056"/>
      <c r="AP75" s="1056"/>
      <c r="AQ75" s="1056"/>
      <c r="AR75" s="1056"/>
      <c r="AS75" s="1056"/>
      <c r="AT75" s="1056"/>
      <c r="AU75" s="1056"/>
      <c r="AV75" s="1056"/>
      <c r="AW75" s="1056"/>
      <c r="AX75" s="1056"/>
      <c r="AY75" s="1056"/>
      <c r="AZ75" s="1056"/>
      <c r="BA75" s="1056"/>
      <c r="BB75" s="1056"/>
      <c r="BC75" s="1056"/>
    </row>
    <row r="76" spans="1:55" ht="127.9" customHeight="1" x14ac:dyDescent="0.25">
      <c r="A76" s="223"/>
      <c r="B76" s="1278" t="s">
        <v>1860</v>
      </c>
      <c r="C76" s="1819">
        <v>32</v>
      </c>
      <c r="D76" s="1840" t="s">
        <v>556</v>
      </c>
      <c r="E76" s="1819" t="s">
        <v>326</v>
      </c>
      <c r="F76" s="1820" t="s">
        <v>332</v>
      </c>
      <c r="G76" s="1821" t="str">
        <f>IF('Звіт   4,5,6'!E43=0,"Дані не введено",IF(AND(S77="ПРАВДА",G73="ПРАВДА"),IF(AND(J77&lt;=1,J77&gt;=-1,M77&lt;=1,M77&gt;=-1,R77&lt;=1,R77&gt;=-1,T77&gt;=0,U77&gt;=0,V77&gt;=0),"ПРАВДА","ПОМИЛКА"),"ПОМИЛКА"))</f>
        <v>ПРАВДА</v>
      </c>
      <c r="H76" s="1336" t="s">
        <v>673</v>
      </c>
      <c r="I76" s="1212" t="s">
        <v>557</v>
      </c>
      <c r="J76" s="1112" t="s">
        <v>456</v>
      </c>
      <c r="K76" s="1212" t="s">
        <v>674</v>
      </c>
      <c r="L76" s="1212" t="s">
        <v>747</v>
      </c>
      <c r="M76" s="1112" t="s">
        <v>456</v>
      </c>
      <c r="N76" s="1213" t="s">
        <v>558</v>
      </c>
      <c r="O76" s="1212" t="s">
        <v>470</v>
      </c>
      <c r="P76" s="1212" t="s">
        <v>758</v>
      </c>
      <c r="Q76" s="1212" t="s">
        <v>685</v>
      </c>
      <c r="R76" s="1112" t="s">
        <v>749</v>
      </c>
      <c r="S76" s="1220" t="s">
        <v>748</v>
      </c>
      <c r="T76" s="1282" t="str">
        <f>'Звіт 10, 11,12,13,14'!AF8</f>
        <v>Отримані як цільове фінансування</v>
      </c>
      <c r="U76" s="1282" t="str">
        <f>'Звіт 10, 11,12,13,14'!AG8</f>
        <v>Отримано як статутний капітал</v>
      </c>
      <c r="V76" s="1282" t="s">
        <v>506</v>
      </c>
      <c r="W76" s="1057"/>
      <c r="X76" s="1057"/>
      <c r="Y76" s="1056"/>
      <c r="Z76" s="1056"/>
      <c r="AA76" s="1056"/>
      <c r="AB76" s="1056"/>
      <c r="AC76" s="1056"/>
      <c r="AD76" s="1056"/>
      <c r="AE76" s="1056"/>
      <c r="AF76" s="1056"/>
      <c r="AG76" s="1056"/>
      <c r="AH76" s="1056"/>
      <c r="AI76" s="1056"/>
      <c r="AJ76" s="1056"/>
      <c r="AK76" s="1056"/>
      <c r="AL76" s="1056"/>
      <c r="AM76" s="1056"/>
      <c r="AN76" s="1056"/>
      <c r="AO76" s="1056"/>
      <c r="AP76" s="1056"/>
      <c r="AQ76" s="1056"/>
      <c r="AR76" s="1056"/>
      <c r="AS76" s="1056"/>
      <c r="AT76" s="1056"/>
      <c r="AU76" s="1056"/>
      <c r="AV76" s="1056"/>
      <c r="AW76" s="1056"/>
      <c r="AX76" s="1056"/>
      <c r="AY76" s="1056"/>
      <c r="AZ76" s="1056"/>
      <c r="BA76" s="1056"/>
      <c r="BB76" s="1056"/>
      <c r="BC76" s="1056"/>
    </row>
    <row r="77" spans="1:55" ht="26.25" customHeight="1" x14ac:dyDescent="0.35">
      <c r="A77" s="223"/>
      <c r="B77" s="1278"/>
      <c r="C77" s="1819"/>
      <c r="D77" s="1840"/>
      <c r="E77" s="1819"/>
      <c r="F77" s="1820"/>
      <c r="G77" s="1821"/>
      <c r="H77" s="1299">
        <f>ROUND(('Звіт   9'!H74),1)</f>
        <v>27030.7</v>
      </c>
      <c r="I77" s="1299">
        <f>ROUND(('Звіт 10, 11,12,13,14'!I27/1000),1)</f>
        <v>27030.7</v>
      </c>
      <c r="J77" s="1337">
        <f>ROUND((H77-I77),1)</f>
        <v>0</v>
      </c>
      <c r="K77" s="1221">
        <f>ROUND(('Звіт   9'!K74),1)</f>
        <v>29201.4</v>
      </c>
      <c r="L77" s="1299">
        <f>ROUND(('Звіт 10, 11,12,13,14'!AF28/1000),1)</f>
        <v>29201.4</v>
      </c>
      <c r="M77" s="1337">
        <f>ROUND((K77-L77),1)</f>
        <v>0</v>
      </c>
      <c r="N77" s="1299">
        <f>ROUND(('Звіт 1,2,3'!I29+'Звіт 1,2,3'!J29+'Звіт 1,2,3'!K29+'Звіт 1,2,3'!L29+'Звіт 1,2,3'!M29+'Звіт 1,2,3'!P29)/1000,1)</f>
        <v>13482</v>
      </c>
      <c r="O77" s="1299">
        <f>ROUND(('Звіт   4,5,6'!O47+'Звіт   4,5,6'!O56+'Звіт   4,5,6'!O55+'Звіт   4,5,6'!O57+'Звіт   4,5,6'!O58+'Звіт   4,5,6'!O60+'Звіт   4,5,6'!O61+'Звіт   4,5,6'!O54+'Звіт   4,5,6'!O69)/1000,1)</f>
        <v>11311.3</v>
      </c>
      <c r="P77" s="1338">
        <f>ROUND((('Звіт 10, 11,12,13,14'!I77+'Звіт 10, 11,12,13,14'!V29)/1000),1)</f>
        <v>0</v>
      </c>
      <c r="Q77" s="1299">
        <f>ROUND((H77+N77-O77-P77),1)</f>
        <v>29201.4</v>
      </c>
      <c r="R77" s="1337">
        <f>ROUND((Q77-'Звіт 10, 11,12,13,14'!AF34),1)</f>
        <v>0</v>
      </c>
      <c r="S77" s="1214" t="str">
        <f>'Звіт 10, 11,12,13,14'!AG33</f>
        <v>ПРАВДА</v>
      </c>
      <c r="T77" s="1339">
        <f>'Звіт 10, 11,12,13,14'!AF27</f>
        <v>29201425</v>
      </c>
      <c r="U77" s="1339">
        <f>'Звіт 10, 11,12,13,14'!AG27</f>
        <v>0</v>
      </c>
      <c r="V77" s="1339">
        <f>'Звіт 10, 11,12,13,14'!AH27</f>
        <v>1732392</v>
      </c>
      <c r="W77" s="1057"/>
      <c r="X77" s="1057"/>
      <c r="Y77" s="1056"/>
      <c r="Z77" s="1056"/>
      <c r="AA77" s="1056"/>
      <c r="AB77" s="1056"/>
      <c r="AC77" s="1056"/>
      <c r="AD77" s="1056"/>
      <c r="AE77" s="1056"/>
      <c r="AF77" s="1056"/>
      <c r="AG77" s="1056"/>
      <c r="AH77" s="1056"/>
      <c r="AI77" s="1056"/>
      <c r="AJ77" s="1056"/>
      <c r="AK77" s="1056"/>
      <c r="AL77" s="1056"/>
      <c r="AM77" s="1056"/>
      <c r="AN77" s="1056"/>
      <c r="AO77" s="1056"/>
      <c r="AP77" s="1056"/>
      <c r="AQ77" s="1056"/>
      <c r="AR77" s="1056"/>
      <c r="AS77" s="1056"/>
      <c r="AT77" s="1056"/>
      <c r="AU77" s="1056"/>
      <c r="AV77" s="1056"/>
      <c r="AW77" s="1056"/>
      <c r="AX77" s="1056"/>
      <c r="AY77" s="1056"/>
      <c r="AZ77" s="1056"/>
      <c r="BA77" s="1056"/>
      <c r="BB77" s="1056"/>
      <c r="BC77" s="1056"/>
    </row>
    <row r="78" spans="1:55" ht="31.5" customHeight="1" x14ac:dyDescent="0.25">
      <c r="A78" s="223"/>
      <c r="B78" s="223"/>
      <c r="C78" s="1862" t="s">
        <v>357</v>
      </c>
      <c r="D78" s="1862"/>
      <c r="E78" s="1124"/>
      <c r="F78" s="1124"/>
      <c r="G78" s="1138"/>
      <c r="H78" s="1139" t="str">
        <f>IF(AND(K81&gt;0,L81&gt;0,L81&gt;=K81/J78,L81&lt;=K81),"ПРАВДА","ПОМИЛКА")</f>
        <v>ПРАВДА</v>
      </c>
      <c r="I78" s="1139" t="str">
        <f>IF(AND(K86&gt;0,L86&gt;0,L86&gt;=K86/4,L86&lt;=K86),"ПРАВДА","ПОМИЛКА")</f>
        <v>ПРАВДА</v>
      </c>
      <c r="J78" s="1140">
        <f>100/45</f>
        <v>2.2000000000000002</v>
      </c>
      <c r="K78" s="1131"/>
      <c r="L78" s="1131"/>
      <c r="M78" s="1141"/>
      <c r="N78" s="1142"/>
      <c r="O78" s="1142"/>
      <c r="P78" s="1142"/>
      <c r="Q78" s="1142"/>
      <c r="R78" s="1142"/>
      <c r="S78" s="238"/>
      <c r="T78" s="1143"/>
      <c r="U78" s="1090"/>
      <c r="V78" s="1090"/>
      <c r="W78" s="1090"/>
      <c r="X78" s="1057"/>
      <c r="Y78" s="1057"/>
      <c r="Z78" s="1057"/>
      <c r="AA78" s="1057"/>
      <c r="AB78" s="1057"/>
      <c r="AC78" s="1057"/>
      <c r="AD78" s="1057"/>
      <c r="AE78" s="1056"/>
      <c r="AF78" s="1056"/>
      <c r="AG78" s="1056"/>
      <c r="AH78" s="1056"/>
      <c r="AI78" s="1056"/>
      <c r="AJ78" s="1056"/>
      <c r="AK78" s="1056"/>
      <c r="AL78" s="1056"/>
      <c r="AM78" s="1056"/>
      <c r="AN78" s="1056"/>
      <c r="AO78" s="1056"/>
      <c r="AP78" s="1056"/>
      <c r="AQ78" s="1056"/>
      <c r="AR78" s="1056"/>
      <c r="AS78" s="1056"/>
      <c r="AT78" s="1056"/>
      <c r="AU78" s="1056"/>
      <c r="AV78" s="1056"/>
      <c r="AW78" s="1056"/>
      <c r="AX78" s="1056"/>
      <c r="AY78" s="1056"/>
      <c r="AZ78" s="1056"/>
      <c r="BA78" s="1056"/>
      <c r="BB78" s="1056"/>
      <c r="BC78" s="1056"/>
    </row>
    <row r="79" spans="1:55" ht="31.5" customHeight="1" x14ac:dyDescent="0.25">
      <c r="A79" s="223"/>
      <c r="B79" s="223"/>
      <c r="C79" s="1144"/>
      <c r="D79" s="1144"/>
      <c r="E79" s="1120"/>
      <c r="F79" s="1120"/>
      <c r="G79" s="1144"/>
      <c r="H79" s="1827" t="s">
        <v>453</v>
      </c>
      <c r="I79" s="1827"/>
      <c r="J79" s="1827"/>
      <c r="K79" s="1827" t="s">
        <v>454</v>
      </c>
      <c r="L79" s="1827"/>
      <c r="M79" s="1827"/>
      <c r="N79" s="1131"/>
      <c r="O79" s="1131"/>
      <c r="P79" s="1131"/>
      <c r="Q79" s="1145"/>
      <c r="R79" s="1145"/>
      <c r="S79" s="1146"/>
      <c r="T79" s="1057"/>
      <c r="U79" s="1057"/>
      <c r="V79" s="1057"/>
      <c r="W79" s="1057"/>
      <c r="X79" s="1057"/>
      <c r="Y79" s="1057"/>
      <c r="Z79" s="1057"/>
      <c r="AA79" s="1057"/>
      <c r="AB79" s="1057"/>
      <c r="AC79" s="1057"/>
      <c r="AD79" s="1057"/>
      <c r="AE79" s="1056"/>
      <c r="AF79" s="1056"/>
      <c r="AG79" s="1056"/>
      <c r="AH79" s="1056"/>
      <c r="AI79" s="1056"/>
      <c r="AJ79" s="1056"/>
      <c r="AK79" s="1056"/>
      <c r="AL79" s="1056"/>
      <c r="AM79" s="1056"/>
      <c r="AN79" s="1056"/>
      <c r="AO79" s="1056"/>
      <c r="AP79" s="1056"/>
      <c r="AQ79" s="1056"/>
      <c r="AR79" s="1056"/>
      <c r="AS79" s="1056"/>
      <c r="AT79" s="1056"/>
      <c r="AU79" s="1056"/>
      <c r="AV79" s="1056"/>
      <c r="AW79" s="1056"/>
      <c r="AX79" s="1056"/>
      <c r="AY79" s="1056"/>
      <c r="AZ79" s="1056"/>
      <c r="BA79" s="1056"/>
      <c r="BB79" s="1056"/>
      <c r="BC79" s="1056"/>
    </row>
    <row r="80" spans="1:55" ht="131.25" customHeight="1" x14ac:dyDescent="0.25">
      <c r="A80" s="223"/>
      <c r="B80" s="1278" t="s">
        <v>1861</v>
      </c>
      <c r="C80" s="1819">
        <v>33</v>
      </c>
      <c r="D80" s="1840" t="s">
        <v>559</v>
      </c>
      <c r="E80" s="1858" t="s">
        <v>369</v>
      </c>
      <c r="F80" s="1820" t="s">
        <v>334</v>
      </c>
      <c r="G80" s="1821" t="str">
        <f>IF('Звіт   4,5,6'!E43=0,"Дані не введено",IF(H78="ПОМИЛКА","ПОМИЛКА",IF(AND(H81&gt;0,I81&gt;0,I81&gt;=H81/J78,I81&lt;=H81),"ПРАВДА","ПОМИЛКА")))</f>
        <v>ПРАВДА</v>
      </c>
      <c r="H80" s="1212" t="s">
        <v>466</v>
      </c>
      <c r="I80" s="1212" t="s">
        <v>464</v>
      </c>
      <c r="J80" s="1112" t="s">
        <v>455</v>
      </c>
      <c r="K80" s="1212" t="s">
        <v>467</v>
      </c>
      <c r="L80" s="1212" t="s">
        <v>465</v>
      </c>
      <c r="M80" s="1112" t="s">
        <v>455</v>
      </c>
      <c r="N80" s="1071"/>
      <c r="O80" s="1071"/>
      <c r="P80" s="1131"/>
      <c r="Q80" s="1057"/>
      <c r="R80" s="1057"/>
      <c r="S80" s="1057"/>
      <c r="T80" s="1143"/>
      <c r="U80" s="1057"/>
      <c r="V80" s="1057"/>
      <c r="W80" s="1057"/>
      <c r="X80" s="1057"/>
      <c r="Y80" s="1057"/>
      <c r="Z80" s="1057"/>
      <c r="AA80" s="1057"/>
      <c r="AB80" s="1057"/>
      <c r="AC80" s="1057"/>
      <c r="AD80" s="1057"/>
      <c r="AE80" s="1056"/>
      <c r="AF80" s="1056"/>
      <c r="AG80" s="1056"/>
      <c r="AH80" s="1056"/>
      <c r="AI80" s="1056"/>
      <c r="AJ80" s="1056"/>
      <c r="AK80" s="1056"/>
      <c r="AL80" s="1056"/>
      <c r="AM80" s="1056"/>
      <c r="AN80" s="1056"/>
      <c r="AO80" s="1056"/>
      <c r="AP80" s="1056"/>
      <c r="AQ80" s="1056"/>
      <c r="AR80" s="1056"/>
      <c r="AS80" s="1056"/>
      <c r="AT80" s="1056"/>
      <c r="AU80" s="1056"/>
      <c r="AV80" s="1056"/>
      <c r="AW80" s="1056"/>
      <c r="AX80" s="1056"/>
      <c r="AY80" s="1056"/>
      <c r="AZ80" s="1056"/>
      <c r="BA80" s="1056"/>
      <c r="BB80" s="1056"/>
      <c r="BC80" s="1056"/>
    </row>
    <row r="81" spans="1:57" ht="29.25" customHeight="1" x14ac:dyDescent="0.25">
      <c r="A81" s="223"/>
      <c r="B81" s="1278"/>
      <c r="C81" s="1825"/>
      <c r="D81" s="1873"/>
      <c r="E81" s="1859"/>
      <c r="F81" s="1860"/>
      <c r="G81" s="1861"/>
      <c r="H81" s="940">
        <f>'Звіт   9'!H13+'Звіт   9'!H17</f>
        <v>48408.1</v>
      </c>
      <c r="I81" s="940">
        <f>'Звіт   9'!H59+'Звіт   9'!H61+'Звіт   9'!H98</f>
        <v>23926</v>
      </c>
      <c r="J81" s="1148">
        <f>I81*100/H81</f>
        <v>49.4</v>
      </c>
      <c r="K81" s="1100">
        <f>'Звіт   9'!K13+'Звіт   9'!K17</f>
        <v>49635.8</v>
      </c>
      <c r="L81" s="1100">
        <f>'Звіт   9'!K59+'Звіт   9'!K61+'Звіт   9'!K98</f>
        <v>25129.4</v>
      </c>
      <c r="M81" s="1148">
        <f>L81*100/K81</f>
        <v>50.6</v>
      </c>
      <c r="N81" s="1071"/>
      <c r="O81" s="1071"/>
      <c r="P81" s="1131"/>
      <c r="Q81" s="1057"/>
      <c r="R81" s="1215" t="str">
        <f>IF('Звіт   4,5,6'!E43=0,"Дані не введено",IF(AND(R84&gt;0,S84=0,V84&gt;0),"ПРАВДА",IF(AND(R84&gt;0,S84&gt;0,V84&gt;0),"ПРАВДА",IF(AND(R84=0,S84&gt;0,V84&gt;0),"ПРАВДА",IF(AND(R84=0,S84=0,V84=0),"ПРАВДА","ПОМИЛКА")))))</f>
        <v>ПРАВДА</v>
      </c>
      <c r="S81" s="1215" t="str">
        <f>IF('Звіт   4,5,6'!E43=0,"Дані не введено",IF(OR(AND(S84=0,U84=0),AND(S84&gt;0,U84&gt;0)),"ПРАВДА","ПОМИЛКА"))</f>
        <v>ПРАВДА</v>
      </c>
      <c r="T81" s="1275"/>
      <c r="U81" s="1275"/>
      <c r="V81" s="1275"/>
      <c r="W81" s="1275"/>
      <c r="X81" s="1057"/>
      <c r="Y81" s="1057"/>
      <c r="Z81" s="1057"/>
      <c r="AA81" s="1057"/>
      <c r="AB81" s="1057"/>
      <c r="AC81" s="1057"/>
      <c r="AD81" s="1057"/>
      <c r="AE81" s="1056"/>
      <c r="AF81" s="1056"/>
      <c r="AG81" s="1056"/>
      <c r="AH81" s="1056"/>
      <c r="AI81" s="1056"/>
      <c r="AJ81" s="1056"/>
      <c r="AK81" s="1056"/>
      <c r="AL81" s="1056"/>
      <c r="AM81" s="1056"/>
      <c r="AN81" s="1056"/>
      <c r="AO81" s="1056"/>
      <c r="AP81" s="1056"/>
      <c r="AQ81" s="1056"/>
      <c r="AR81" s="1056"/>
      <c r="AS81" s="1056"/>
      <c r="AT81" s="1056"/>
      <c r="AU81" s="1056"/>
      <c r="AV81" s="1056"/>
      <c r="AW81" s="1056"/>
      <c r="AX81" s="1056"/>
      <c r="AY81" s="1056"/>
      <c r="AZ81" s="1056"/>
      <c r="BA81" s="1056"/>
      <c r="BB81" s="1056"/>
      <c r="BC81" s="1056"/>
    </row>
    <row r="82" spans="1:57" ht="67.900000000000006" customHeight="1" x14ac:dyDescent="0.25">
      <c r="A82" s="223"/>
      <c r="B82" s="1278"/>
      <c r="C82" s="1342"/>
      <c r="D82" s="1343"/>
      <c r="E82" s="1344"/>
      <c r="F82" s="1213"/>
      <c r="G82" s="1214"/>
      <c r="H82" s="1821" t="s">
        <v>560</v>
      </c>
      <c r="I82" s="1821"/>
      <c r="J82" s="1821"/>
      <c r="K82" s="1821"/>
      <c r="L82" s="1821"/>
      <c r="M82" s="1821"/>
      <c r="N82" s="1819" t="s">
        <v>1239</v>
      </c>
      <c r="O82" s="1819"/>
      <c r="P82" s="1827" t="s">
        <v>1144</v>
      </c>
      <c r="Q82" s="1827"/>
      <c r="R82" s="1833" t="s">
        <v>1896</v>
      </c>
      <c r="S82" s="1833"/>
      <c r="T82" s="1833"/>
      <c r="U82" s="1833"/>
      <c r="V82" s="1833"/>
      <c r="W82" s="1833"/>
      <c r="X82" s="1834" t="s">
        <v>1900</v>
      </c>
      <c r="Y82" s="1835"/>
      <c r="Z82" s="1090"/>
      <c r="AA82" s="1090"/>
      <c r="AB82" s="1090"/>
      <c r="AC82" s="1090"/>
      <c r="AD82" s="1090"/>
      <c r="AE82" s="1056"/>
      <c r="AF82" s="1056"/>
      <c r="AG82" s="1056"/>
      <c r="AH82" s="1056"/>
      <c r="AI82" s="1056"/>
      <c r="AJ82" s="1056"/>
      <c r="AK82" s="1056"/>
      <c r="AL82" s="1056"/>
      <c r="AM82" s="1056"/>
      <c r="AN82" s="1056"/>
      <c r="AO82" s="1056"/>
      <c r="AP82" s="1056"/>
      <c r="AQ82" s="1056"/>
      <c r="AR82" s="1056"/>
      <c r="AS82" s="1056"/>
      <c r="AT82" s="1056"/>
      <c r="AU82" s="1056"/>
      <c r="AV82" s="1056"/>
      <c r="AW82" s="1056"/>
      <c r="AX82" s="1056"/>
      <c r="AY82" s="1056"/>
      <c r="AZ82" s="1056"/>
      <c r="BA82" s="1056"/>
      <c r="BB82" s="1056"/>
      <c r="BC82" s="1056"/>
    </row>
    <row r="83" spans="1:57" ht="138" customHeight="1" x14ac:dyDescent="0.3">
      <c r="A83" s="223"/>
      <c r="B83" s="1278" t="s">
        <v>1862</v>
      </c>
      <c r="C83" s="1819">
        <v>34</v>
      </c>
      <c r="D83" s="1856" t="s">
        <v>1899</v>
      </c>
      <c r="E83" s="1820" t="s">
        <v>326</v>
      </c>
      <c r="F83" s="1820" t="s">
        <v>332</v>
      </c>
      <c r="G83" s="1821" t="str">
        <f>IF('Звіт   4,5,6'!E43=0,"Дані не введено",IF(OR(N84="ПОМИЛКА",W84="ПОМИЛКА",O84="ПОМИЛКА",P84="ПОМИЛКА",Q84="ПОМИЛКА",X844="ПОМИЛКА",Y84="ПОМИЛКА"),"ПОМИЛКА",IF(AND(J84&lt;=1,J84&gt;=-1,M84&lt;=1,M84&gt;=-1),"ПРАВДА","ПОМИЛКА")))</f>
        <v>ПРАВДА</v>
      </c>
      <c r="H83" s="1212" t="s">
        <v>462</v>
      </c>
      <c r="I83" s="1212" t="s">
        <v>561</v>
      </c>
      <c r="J83" s="1112" t="s">
        <v>456</v>
      </c>
      <c r="K83" s="1212" t="s">
        <v>463</v>
      </c>
      <c r="L83" s="1212" t="s">
        <v>562</v>
      </c>
      <c r="M83" s="1112" t="s">
        <v>456</v>
      </c>
      <c r="N83" s="1212" t="str">
        <f>'Звіт 10, 11,12,13,14'!AO11</f>
        <v>Якщо СдП р.1000 Балансу = р. Т 10.1 гр.4  Нематеріальні активи, то ПРАВДА</v>
      </c>
      <c r="O83" s="1212" t="str">
        <f>'Звіт 10, 11,12,13,14'!AP11</f>
        <v>Якщо СдК р.1000 Балансу = р. Т 10.1 гр.19  Нематеріальні активи, то ПРАВДА</v>
      </c>
      <c r="P83" s="1212" t="str">
        <f>'Звіт 10, 11,12,13,14'!AO20</f>
        <v>Якщо СдП р.1010 Балансу = р. Т 10.3 гр.4  Основні засоби, то ПРАВДА</v>
      </c>
      <c r="Q83" s="1212" t="str">
        <f>'Звіт 10, 11,12,13,14'!AP20</f>
        <v>Якщо СдК р.1010 Балансу = р. Т 10.3 гр.19  Основні засоби, то ПРАВДА</v>
      </c>
      <c r="R83" s="1228" t="s">
        <v>1393</v>
      </c>
      <c r="S83" s="1228" t="s">
        <v>1394</v>
      </c>
      <c r="T83" s="1228" t="s">
        <v>1395</v>
      </c>
      <c r="U83" s="1228" t="s">
        <v>1293</v>
      </c>
      <c r="V83" s="1228" t="s">
        <v>1292</v>
      </c>
      <c r="W83" s="1248"/>
      <c r="X83" s="1386" t="str">
        <f>'Звіт 10, 11,12,13,14'!AQ8</f>
        <v>Отримано як статутний капітал</v>
      </c>
      <c r="Y83" s="1386" t="str">
        <f>'Звіт 10, 11,12,13,14'!AR8</f>
        <v>Інше (ПМГ та власні кошти)</v>
      </c>
      <c r="Z83" s="1090"/>
      <c r="AA83" s="1057"/>
      <c r="AB83" s="1057"/>
      <c r="AC83" s="1057"/>
      <c r="AD83" s="1057"/>
      <c r="AE83" s="1056"/>
      <c r="AF83" s="1056"/>
      <c r="AG83" s="1056"/>
      <c r="AH83" s="1056"/>
      <c r="AI83" s="1056"/>
      <c r="AJ83" s="1475"/>
      <c r="AK83" s="1056"/>
      <c r="AL83" s="1056"/>
      <c r="AM83" s="1056"/>
      <c r="AN83" s="1056"/>
      <c r="AO83" s="1056"/>
      <c r="AP83" s="1056"/>
      <c r="AQ83" s="1056"/>
      <c r="AR83" s="1056"/>
      <c r="AS83" s="1056"/>
      <c r="AT83" s="1056"/>
      <c r="AU83" s="1056"/>
      <c r="AV83" s="1056"/>
      <c r="AW83" s="1056"/>
      <c r="AX83" s="1056"/>
      <c r="AY83" s="1056"/>
      <c r="AZ83" s="1056"/>
      <c r="BA83" s="1056"/>
      <c r="BB83" s="1056"/>
      <c r="BC83" s="1056"/>
    </row>
    <row r="84" spans="1:57" ht="31.5" customHeight="1" x14ac:dyDescent="0.3">
      <c r="A84" s="223"/>
      <c r="B84" s="1278"/>
      <c r="C84" s="1819"/>
      <c r="D84" s="1856"/>
      <c r="E84" s="1820"/>
      <c r="F84" s="1820"/>
      <c r="G84" s="1821"/>
      <c r="H84" s="1295">
        <f>ROUND(('Звіт 10, 11,12,13,14'!F13+'Звіт 10, 11,12,13,14'!F23+'Звіт 10, 11,12,13,14'!G11-'Звіт 10, 11,12,13,14'!G12+'Звіт 10, 11,12,13,14'!I11-'Звіт 10, 11,12,13,14'!I12+'Звіт 10, 11,12,13,14'!G21-'Звіт 10, 11,12,13,14'!G22+'Звіт 10, 11,12,13,14'!I21-'Звіт 10, 11,12,13,14'!I22)/1000,1)</f>
        <v>23926</v>
      </c>
      <c r="I84" s="1295">
        <f>ROUND(('Звіт 10, 11,12,13,14'!F67+'Звіт 10, 11,12,13,14'!F69+'Звіт 10, 11,12,13,14'!F72)/1000,1)</f>
        <v>23926</v>
      </c>
      <c r="J84" s="1271">
        <f>ROUND((I84-H84),1)</f>
        <v>0</v>
      </c>
      <c r="K84" s="1295">
        <f>ROUND(('Звіт 10, 11,12,13,14'!AD13+'Звіт 10, 11,12,13,14'!AD23+'Звіт 10, 11,12,13,14'!AE11-'Звіт 10, 11,12,13,14'!AE12+'Звіт 10, 11,12,13,14'!AF11-'Звіт 10, 11,12,13,14'!AF12+'Звіт 10, 11,12,13,14'!AE21-'Звіт 10, 11,12,13,14'!AE22+'Звіт 10, 11,12,13,14'!AF21-'Звіт 10, 11,12,13,14'!AF22)/1000,1)</f>
        <v>25129.4</v>
      </c>
      <c r="L84" s="1295">
        <f>ROUND(('Звіт 10, 11,12,13,14'!K67+'Звіт 10, 11,12,13,14'!K69+'Звіт 10, 11,12,13,14'!K72)/1000,1)</f>
        <v>25129.4</v>
      </c>
      <c r="M84" s="1271">
        <f>ROUND((L84-K84),1)</f>
        <v>0</v>
      </c>
      <c r="N84" s="1214" t="str">
        <f>'Звіт 10, 11,12,13,14'!AO10</f>
        <v>ПРАВДА</v>
      </c>
      <c r="O84" s="1214" t="str">
        <f>'Звіт 10, 11,12,13,14'!AP10</f>
        <v>ПРАВДА</v>
      </c>
      <c r="P84" s="1214" t="str">
        <f>'Звіт 10, 11,12,13,14'!AO19</f>
        <v>ПРАВДА</v>
      </c>
      <c r="Q84" s="1214" t="str">
        <f>'Звіт 10, 11,12,13,14'!AP19</f>
        <v>ПРАВДА</v>
      </c>
      <c r="R84" s="1214">
        <f>ROUND((('Звіт 10, 11,12,13,14'!F13+'Звіт 10, 11,12,13,14'!F23-'Звіт 10, 11,12,13,14'!F68)/1000),1)</f>
        <v>0</v>
      </c>
      <c r="S84" s="1214">
        <f>ROUND((('Звіт 10, 11,12,13,14'!M14+'Звіт 10, 11,12,13,14'!M24-'Звіт 10, 11,12,13,14'!I68)/1000),1)</f>
        <v>0</v>
      </c>
      <c r="T84" s="1214">
        <f>U84+V84</f>
        <v>0</v>
      </c>
      <c r="U84" s="1249">
        <f>ROUND(('Звіт 10, 11,12,13,14'!G87)/1000,1)</f>
        <v>0</v>
      </c>
      <c r="V84" s="1249">
        <f>ROUND(('Звіт 10, 11,12,13,14'!G88)/1000,1)</f>
        <v>0</v>
      </c>
      <c r="W84" s="1214" t="str">
        <f>IF('Звіт   4,5,6'!E43=0,"Дані не введено",IF(AND(R81="ПРАВДА",S81="ПРАВДА"),"ПРАВДА",IF(W85=1,"ПРАВДА","ПОМИЛКА")))</f>
        <v>ПРАВДА</v>
      </c>
      <c r="X84" s="1253" t="str">
        <f>'Звіт 10, 11,12,13,14'!AQ19</f>
        <v>ПРАВДА</v>
      </c>
      <c r="Y84" s="1253" t="str">
        <f>'Звіт 10, 11,12,13,14'!AR19</f>
        <v>ПРАВДА</v>
      </c>
      <c r="Z84" s="1090"/>
      <c r="AA84" s="1057"/>
      <c r="AB84" s="1057"/>
      <c r="AC84" s="1057"/>
      <c r="AD84" s="1057"/>
      <c r="AE84" s="1056"/>
      <c r="AF84" s="1056"/>
      <c r="AG84" s="1056"/>
      <c r="AH84" s="1056"/>
      <c r="AI84" s="1475"/>
      <c r="AJ84" s="1475"/>
      <c r="AK84" s="1475"/>
      <c r="AL84" s="1475"/>
      <c r="AM84" s="1475"/>
      <c r="AN84" s="1475"/>
      <c r="AO84" s="1475"/>
      <c r="AP84" s="1475"/>
      <c r="AQ84" s="1475"/>
      <c r="AR84" s="1475"/>
      <c r="AS84" s="1475"/>
      <c r="AT84" s="1475"/>
      <c r="AU84" s="1475"/>
      <c r="AV84" s="1056"/>
      <c r="AW84" s="1056"/>
      <c r="AX84" s="1056"/>
      <c r="AY84" s="1056"/>
      <c r="AZ84" s="1056"/>
      <c r="BA84" s="1056"/>
      <c r="BB84" s="1056"/>
      <c r="BC84" s="1056"/>
    </row>
    <row r="85" spans="1:57" ht="126" customHeight="1" x14ac:dyDescent="0.3">
      <c r="A85" s="223"/>
      <c r="B85" s="1278" t="s">
        <v>1863</v>
      </c>
      <c r="C85" s="1819">
        <v>35</v>
      </c>
      <c r="D85" s="1840" t="s">
        <v>507</v>
      </c>
      <c r="E85" s="1858" t="s">
        <v>369</v>
      </c>
      <c r="F85" s="1820" t="s">
        <v>334</v>
      </c>
      <c r="G85" s="1821" t="str">
        <f>IF('Звіт   4,5,6'!E43=0,"Дані не введено",IF(I78="ПОМИЛКА","ПОМИЛКА",IF(AND(H86&gt;0,I86&gt;0,I86&gt;=H86/4,I86&lt;=H86),"ПРАВДА","ПОМИЛКА")))</f>
        <v>ПРАВДА</v>
      </c>
      <c r="H85" s="1212" t="s">
        <v>457</v>
      </c>
      <c r="I85" s="1212" t="s">
        <v>459</v>
      </c>
      <c r="J85" s="1112" t="s">
        <v>455</v>
      </c>
      <c r="K85" s="1212" t="s">
        <v>458</v>
      </c>
      <c r="L85" s="1212" t="s">
        <v>460</v>
      </c>
      <c r="M85" s="1112" t="s">
        <v>455</v>
      </c>
      <c r="N85" s="1131"/>
      <c r="O85" s="1131"/>
      <c r="P85" s="1131"/>
      <c r="Q85" s="1057"/>
      <c r="R85" s="1091"/>
      <c r="S85" s="1165"/>
      <c r="T85" s="1091"/>
      <c r="U85" s="1091"/>
      <c r="V85" s="1091"/>
      <c r="W85" s="1448"/>
      <c r="X85" s="1057"/>
      <c r="Y85" s="1057"/>
      <c r="Z85" s="1057"/>
      <c r="AA85" s="1057"/>
      <c r="AB85" s="1057"/>
      <c r="AC85" s="1057"/>
      <c r="AD85" s="1057"/>
      <c r="AE85" s="1056"/>
      <c r="AF85" s="1056"/>
      <c r="AG85" s="1056"/>
      <c r="AH85" s="1056"/>
      <c r="AI85" s="1475"/>
      <c r="AJ85" s="1475"/>
      <c r="AK85" s="1475"/>
      <c r="AL85" s="1475"/>
      <c r="AM85" s="1475"/>
      <c r="AN85" s="1475"/>
      <c r="AO85" s="1475"/>
      <c r="AP85" s="1475"/>
      <c r="AQ85" s="1475"/>
      <c r="AR85" s="1475"/>
      <c r="AS85" s="1475"/>
      <c r="AT85" s="1475"/>
      <c r="AU85" s="1475"/>
      <c r="AV85" s="1475"/>
      <c r="AW85" s="1056"/>
      <c r="AX85" s="1056"/>
      <c r="AY85" s="1056"/>
      <c r="AZ85" s="1056"/>
      <c r="BA85" s="1056"/>
      <c r="BB85" s="1056"/>
      <c r="BC85" s="1056"/>
    </row>
    <row r="86" spans="1:57" ht="36" customHeight="1" x14ac:dyDescent="0.3">
      <c r="A86" s="223"/>
      <c r="B86" s="1278"/>
      <c r="C86" s="1819"/>
      <c r="D86" s="1840"/>
      <c r="E86" s="1858"/>
      <c r="F86" s="1820"/>
      <c r="G86" s="1821"/>
      <c r="H86" s="1214">
        <f>ROUND(('Звіт   9'!H16+'Звіт   9'!H30),1)</f>
        <v>28719.7</v>
      </c>
      <c r="I86" s="1214">
        <f>ROUND(('Звіт   9'!H74+'Звіт   9'!H77),1)</f>
        <v>27137.3</v>
      </c>
      <c r="J86" s="1270">
        <f>I86*100/H86</f>
        <v>94.49</v>
      </c>
      <c r="K86" s="1214">
        <f>ROUND(('Звіт   9'!K16+'Звіт   9'!K30),1)</f>
        <v>31125.7</v>
      </c>
      <c r="L86" s="1214">
        <f>ROUND(('Звіт   9'!K74+'Звіт   9'!K77),1)</f>
        <v>29393.3</v>
      </c>
      <c r="M86" s="1270">
        <f>L86*100/K86</f>
        <v>94.43</v>
      </c>
      <c r="N86" s="1882"/>
      <c r="O86" s="1882"/>
      <c r="P86" s="1882"/>
      <c r="Q86" s="1882"/>
      <c r="R86" s="1118"/>
      <c r="S86" s="1118"/>
      <c r="T86" s="1882"/>
      <c r="U86" s="1882"/>
      <c r="V86" s="1057"/>
      <c r="W86" s="1057"/>
      <c r="X86" s="1057"/>
      <c r="Y86" s="1057"/>
      <c r="Z86" s="1057"/>
      <c r="AA86" s="1057"/>
      <c r="AB86" s="1057"/>
      <c r="AC86" s="1057"/>
      <c r="AD86" s="1057"/>
      <c r="AE86" s="1056"/>
      <c r="AF86" s="1056"/>
      <c r="AG86" s="1056"/>
      <c r="AH86" s="1056"/>
      <c r="AI86" s="1056"/>
      <c r="AJ86" s="1056"/>
      <c r="AK86" s="1056"/>
      <c r="AL86" s="1056"/>
      <c r="AM86" s="1056"/>
      <c r="AN86" s="1056"/>
      <c r="AO86" s="1475"/>
      <c r="AP86" s="1056"/>
      <c r="AQ86" s="1056"/>
      <c r="AR86" s="1056"/>
      <c r="AS86" s="1056"/>
      <c r="AT86" s="1056"/>
      <c r="AU86" s="1056"/>
      <c r="AV86" s="1475"/>
      <c r="AW86" s="1056"/>
      <c r="AX86" s="1056"/>
      <c r="AY86" s="1056"/>
      <c r="AZ86" s="1056"/>
      <c r="BA86" s="1056"/>
      <c r="BB86" s="1056"/>
      <c r="BC86" s="1056"/>
    </row>
    <row r="87" spans="1:57" ht="45" customHeight="1" x14ac:dyDescent="0.35">
      <c r="A87" s="223"/>
      <c r="B87" s="1278"/>
      <c r="C87" s="1342"/>
      <c r="D87" s="1343"/>
      <c r="E87" s="1344"/>
      <c r="F87" s="1213"/>
      <c r="G87" s="1214"/>
      <c r="H87" s="1821" t="s">
        <v>563</v>
      </c>
      <c r="I87" s="1821"/>
      <c r="J87" s="1821"/>
      <c r="K87" s="1821"/>
      <c r="L87" s="1821"/>
      <c r="M87" s="1821"/>
      <c r="N87" s="1827" t="s">
        <v>1145</v>
      </c>
      <c r="O87" s="1827"/>
      <c r="P87" s="1827"/>
      <c r="Q87" s="1827"/>
      <c r="R87" s="1827"/>
      <c r="S87" s="1118"/>
      <c r="T87" s="1057"/>
      <c r="U87" s="1057"/>
      <c r="V87" s="1057"/>
      <c r="W87" s="1057"/>
      <c r="X87" s="1057"/>
      <c r="Y87" s="1057"/>
      <c r="Z87" s="1057"/>
      <c r="AA87" s="1057"/>
      <c r="AB87" s="1057"/>
      <c r="AC87" s="1057"/>
      <c r="AD87" s="1057"/>
      <c r="AE87" s="1056"/>
      <c r="AF87" s="1056"/>
      <c r="AG87" s="1056"/>
      <c r="AH87" s="1056"/>
      <c r="AI87" s="1056"/>
      <c r="AJ87" s="1056"/>
      <c r="AK87" s="1056"/>
      <c r="AL87" s="1056"/>
      <c r="AM87" s="1056"/>
      <c r="AN87" s="1056"/>
      <c r="AO87" s="1476"/>
      <c r="AP87" s="1056"/>
      <c r="AQ87" s="1056"/>
      <c r="AR87" s="1056"/>
      <c r="AS87" s="1056"/>
      <c r="AT87" s="1056"/>
      <c r="AU87" s="1056"/>
      <c r="AV87" s="1475"/>
      <c r="AW87" s="1056"/>
      <c r="AX87" s="1056"/>
      <c r="AY87" s="1056"/>
      <c r="AZ87" s="1056"/>
      <c r="BA87" s="1056"/>
      <c r="BB87" s="1056"/>
      <c r="BC87" s="1056"/>
    </row>
    <row r="88" spans="1:57" ht="131.25" x14ac:dyDescent="0.3">
      <c r="A88" s="223"/>
      <c r="B88" s="1278" t="s">
        <v>1864</v>
      </c>
      <c r="C88" s="1819">
        <v>36</v>
      </c>
      <c r="D88" s="1840" t="s">
        <v>1297</v>
      </c>
      <c r="E88" s="1820" t="s">
        <v>326</v>
      </c>
      <c r="F88" s="1820" t="s">
        <v>332</v>
      </c>
      <c r="G88" s="1821" t="str">
        <f>IF('Звіт   4,5,6'!E43=0,"Дані не введено",IF(OR(R89="ПОМИЛКА",Q89="ПОМИЛКА",N89="ПОМИЛКА",O89="ПОМИЛКА",P89="ПОМИЛКА"),"ПОМИЛКА",IF(AND(J89&lt;=1,J89&gt;=-1,M89&lt;=1,M89&gt;=-1),"ПРАВДА","ПОМИЛКА")))</f>
        <v>ПРАВДА</v>
      </c>
      <c r="H88" s="1212" t="s">
        <v>564</v>
      </c>
      <c r="I88" s="1212" t="str">
        <f>I85</f>
        <v>Баланс Пасив Таблиця 9
Цільове фінансування на початок періоду в частині залишків запасів та незавершених капітальних інвестицій</v>
      </c>
      <c r="J88" s="1112" t="s">
        <v>456</v>
      </c>
      <c r="K88" s="1212" t="s">
        <v>752</v>
      </c>
      <c r="L88" s="1212" t="str">
        <f>L85</f>
        <v>Баланс Пасив Таблиця 9
Цільове фінансування на кінець періоду в частині залишків запасів та незавершених капітальних інвестицій</v>
      </c>
      <c r="M88" s="1112" t="s">
        <v>456</v>
      </c>
      <c r="N88" s="1291" t="s">
        <v>565</v>
      </c>
      <c r="O88" s="1291" t="s">
        <v>513</v>
      </c>
      <c r="P88" s="1291" t="s">
        <v>1240</v>
      </c>
      <c r="Q88" s="1228" t="s">
        <v>1241</v>
      </c>
      <c r="R88" s="1228" t="s">
        <v>1242</v>
      </c>
      <c r="S88" s="1147"/>
      <c r="T88" s="1057"/>
      <c r="U88" s="1057"/>
      <c r="V88" s="1057"/>
      <c r="W88" s="1057"/>
      <c r="X88" s="1057"/>
      <c r="Y88" s="1057"/>
      <c r="Z88" s="1057"/>
      <c r="AA88" s="1057"/>
      <c r="AB88" s="1057"/>
      <c r="AC88" s="1057"/>
      <c r="AD88" s="1057"/>
      <c r="AE88" s="1056"/>
      <c r="AF88" s="1056"/>
      <c r="AG88" s="1056"/>
      <c r="AH88" s="1056"/>
      <c r="AI88" s="1475"/>
      <c r="AJ88" s="1475"/>
      <c r="AK88" s="1475"/>
      <c r="AL88" s="1475"/>
      <c r="AM88" s="1475"/>
      <c r="AN88" s="1475"/>
      <c r="AO88" s="1475"/>
      <c r="AP88" s="1475"/>
      <c r="AQ88" s="1475"/>
      <c r="AR88" s="1475"/>
      <c r="AS88" s="1475"/>
      <c r="AT88" s="1475"/>
      <c r="AU88" s="1056"/>
      <c r="AV88" s="1475"/>
      <c r="AW88" s="1056"/>
      <c r="AX88" s="1056"/>
      <c r="AY88" s="1056"/>
      <c r="AZ88" s="1056"/>
      <c r="BA88" s="1056"/>
      <c r="BB88" s="1056"/>
      <c r="BC88" s="1056"/>
    </row>
    <row r="89" spans="1:57" ht="46.15" customHeight="1" x14ac:dyDescent="0.25">
      <c r="A89" s="223"/>
      <c r="B89" s="1278"/>
      <c r="C89" s="1819"/>
      <c r="D89" s="1840"/>
      <c r="E89" s="1820"/>
      <c r="F89" s="1820"/>
      <c r="G89" s="1821"/>
      <c r="H89" s="1100">
        <f>ROUND(('Звіт 10, 11,12,13,14'!I17+'Звіт 10, 11,12,13,14'!I27)/1000,1)</f>
        <v>27137.3</v>
      </c>
      <c r="I89" s="940">
        <f>I86</f>
        <v>27137.3</v>
      </c>
      <c r="J89" s="1148">
        <f>ROUND((I89-H89),1)</f>
        <v>0</v>
      </c>
      <c r="K89" s="1100">
        <f>ROUND(('Звіт 10, 11,12,13,14'!AF17+'Звіт 10, 11,12,13,14'!I79+'Звіт 10, 11,12,13,14'!AF28)/1000,1)</f>
        <v>29393.4</v>
      </c>
      <c r="L89" s="940">
        <f>L86</f>
        <v>29393.3</v>
      </c>
      <c r="M89" s="1148">
        <f>ROUND((L89-K89),1)</f>
        <v>-0.1</v>
      </c>
      <c r="N89" s="1215" t="str">
        <f>'Звіт 10, 11,12,13,14'!AJ17</f>
        <v>ПРАВДА</v>
      </c>
      <c r="O89" s="1215" t="str">
        <f>'Звіт 10, 11,12,13,14'!AK17</f>
        <v>ПРАВДА</v>
      </c>
      <c r="P89" s="1215" t="str">
        <f>'Звіт 10, 11,12,13,14'!AL17</f>
        <v>ПРАВДА</v>
      </c>
      <c r="Q89" s="1215" t="str">
        <f>IF('Звіт   4,5,6'!E43=0,"Дані не введено",IF(AND(('Звіт   9'!H16-'Звіт 10, 11,12,13,14'!F17/1000)&lt;=1,('Звіт   9'!H16-'Звіт 10, 11,12,13,14'!F17/1000)&gt;=-1),"ПРАВДА","ПОМИЛКА"))</f>
        <v>ПРАВДА</v>
      </c>
      <c r="R89" s="1215" t="str">
        <f>IF('Звіт   4,5,6'!E43=0,"Дані не введено",IF(AND(('Звіт   9'!K16-'Звіт 10, 11,12,13,14'!AD17/1000)&lt;=1,('Звіт   9'!K16-'Звіт 10, 11,12,13,14'!AD17/1000)&gt;=-1),"ПРАВДА","ПОМИЛКА"))</f>
        <v>ПРАВДА</v>
      </c>
      <c r="S89" s="1051"/>
      <c r="T89" s="1057"/>
      <c r="U89" s="1049" t="str">
        <f>IF('Звіт   4,5,6'!E43=0,"Дані не введено",IF(AND(R92&gt;=0,U92&gt;=0),"ПРАВДА","ПОМИЛКА"))</f>
        <v>ПРАВДА</v>
      </c>
      <c r="V89" s="1057"/>
      <c r="W89" s="1057"/>
      <c r="X89" s="1057"/>
      <c r="Y89" s="1057"/>
      <c r="Z89" s="1057"/>
      <c r="AA89" s="1057"/>
      <c r="AB89" s="1057"/>
      <c r="AC89" s="1049" t="str">
        <f>IF('Звіт   4,5,6'!E43=0,"Дані не введено",IF(AND(Y92&gt;=0,AC92&gt;=0),"ПРАВДА","ПОМИЛКА"))</f>
        <v>ПРАВДА</v>
      </c>
      <c r="AD89" s="1057"/>
      <c r="AE89" s="1056"/>
      <c r="AF89" s="1056"/>
      <c r="AG89" s="1056"/>
      <c r="AH89" s="1056"/>
      <c r="AI89" s="1056"/>
      <c r="AJ89" s="1056"/>
      <c r="AK89" s="1049" t="str">
        <f>IF('Звіт   4,5,6'!E43=0,"Дані не введено",IF(AND(AG92&gt;=0,AK92&gt;=0),"ПРАВДА","ПОМИЛКА"))</f>
        <v>ПРАВДА</v>
      </c>
      <c r="AL89" s="1049" t="str">
        <f>IF('Звіт   4,5,6'!E43=0,"Дані не введено",IF(AL92=0,"ПРАВДА","ПОМИЛКА"))</f>
        <v>ПРАВДА</v>
      </c>
      <c r="AM89" s="1056"/>
      <c r="AN89" s="1056"/>
      <c r="AO89" s="1056"/>
      <c r="AP89" s="1056"/>
      <c r="AQ89" s="1056"/>
      <c r="AR89" s="1049" t="str">
        <f>IF('Звіт   4,5,6'!E43=0,"Дані не введено",IF(AND(AQ92&gt;=0,AR92&gt;=0),"ПРАВДА","ПОМИЛКА"))</f>
        <v>ПРАВДА</v>
      </c>
      <c r="AS89" s="1056"/>
      <c r="AT89" s="1056"/>
      <c r="AU89" s="1056"/>
      <c r="AV89" s="1056"/>
      <c r="AW89" s="1056"/>
      <c r="AX89" s="1049" t="str">
        <f>IF('Звіт   4,5,6'!E43=0,"Дані не введено",IF(AND(AW92&gt;=0,AX92&gt;=0),"ПРАВДА",IF(AX93=1,"ПРАВДА","ПОМИЛКА")))</f>
        <v>ПРАВДА</v>
      </c>
      <c r="AY89" s="1056"/>
      <c r="AZ89" s="1056"/>
      <c r="BA89" s="1056"/>
      <c r="BB89" s="1056"/>
      <c r="BC89" s="1214" t="str">
        <f>IF('Звіт   4,5,6'!E43=0,"Дані не введено",IF(BC92=0,"ПРАВДА","ПОМИЛКА"))</f>
        <v>ПРАВДА</v>
      </c>
    </row>
    <row r="90" spans="1:57" s="458" customFormat="1" ht="75" customHeight="1" x14ac:dyDescent="0.3">
      <c r="A90" s="959"/>
      <c r="B90" s="1278"/>
      <c r="C90" s="1086"/>
      <c r="D90" s="1113"/>
      <c r="E90" s="1086"/>
      <c r="F90" s="1086"/>
      <c r="G90" s="1051"/>
      <c r="H90" s="1827" t="s">
        <v>1279</v>
      </c>
      <c r="I90" s="1827"/>
      <c r="J90" s="1827"/>
      <c r="K90" s="1827"/>
      <c r="L90" s="1827"/>
      <c r="M90" s="1827"/>
      <c r="N90" s="1827"/>
      <c r="O90" s="1827"/>
      <c r="P90" s="1821" t="s">
        <v>1278</v>
      </c>
      <c r="Q90" s="1821"/>
      <c r="R90" s="1821"/>
      <c r="S90" s="1821"/>
      <c r="T90" s="1821"/>
      <c r="U90" s="1821"/>
      <c r="V90" s="1819" t="s">
        <v>1822</v>
      </c>
      <c r="W90" s="1819"/>
      <c r="X90" s="1819"/>
      <c r="Y90" s="1819"/>
      <c r="Z90" s="1819"/>
      <c r="AA90" s="1819"/>
      <c r="AB90" s="1819"/>
      <c r="AC90" s="1819"/>
      <c r="AD90" s="1819" t="s">
        <v>1276</v>
      </c>
      <c r="AE90" s="1819"/>
      <c r="AF90" s="1819"/>
      <c r="AG90" s="1819"/>
      <c r="AH90" s="1819"/>
      <c r="AI90" s="1819"/>
      <c r="AJ90" s="1819"/>
      <c r="AK90" s="1819"/>
      <c r="AL90" s="1347" t="s">
        <v>1277</v>
      </c>
      <c r="AM90" s="1819" t="s">
        <v>1927</v>
      </c>
      <c r="AN90" s="1819"/>
      <c r="AO90" s="1819"/>
      <c r="AP90" s="1819"/>
      <c r="AQ90" s="1819"/>
      <c r="AR90" s="1819"/>
      <c r="AS90" s="1820" t="s">
        <v>1287</v>
      </c>
      <c r="AT90" s="1820"/>
      <c r="AU90" s="1820"/>
      <c r="AV90" s="1820"/>
      <c r="AW90" s="1820"/>
      <c r="AX90" s="1820"/>
      <c r="AY90" s="1820" t="s">
        <v>1317</v>
      </c>
      <c r="AZ90" s="1820"/>
      <c r="BA90" s="1820"/>
      <c r="BB90" s="1820"/>
      <c r="BC90" s="1889" t="s">
        <v>1370</v>
      </c>
      <c r="BD90" s="1823" t="s">
        <v>2027</v>
      </c>
      <c r="BE90" s="960"/>
    </row>
    <row r="91" spans="1:57" s="458" customFormat="1" ht="132.75" customHeight="1" x14ac:dyDescent="0.3">
      <c r="A91" s="959"/>
      <c r="B91" s="1278">
        <v>38</v>
      </c>
      <c r="C91" s="1819">
        <v>37</v>
      </c>
      <c r="D91" s="1856" t="s">
        <v>2028</v>
      </c>
      <c r="E91" s="1819" t="s">
        <v>326</v>
      </c>
      <c r="F91" s="1820" t="s">
        <v>332</v>
      </c>
      <c r="G91" s="1821" t="str">
        <f>IF('Звіт   4,5,6'!E43=0,"Дані не введено",IF(AND(K92&gt;=0,O92&gt;=0,R92&gt;=0,U92&gt;=0,Y92&gt;=0,AC92&gt;=0,AG92&gt;=0,AK92&gt;=0,AL92=0,AQ92&gt;=0,AR92&gt;=0,AX89="ПРАВДА",BB92="ПРАВДА",BC92=0,BD92="ПРАВДА"),"ПРАВДА","ПОМИЛКА"))</f>
        <v>ПРАВДА</v>
      </c>
      <c r="H91" s="1212" t="s">
        <v>566</v>
      </c>
      <c r="I91" s="1385" t="s">
        <v>1929</v>
      </c>
      <c r="J91" s="1212" t="s">
        <v>1930</v>
      </c>
      <c r="K91" s="1112" t="s">
        <v>456</v>
      </c>
      <c r="L91" s="1212" t="s">
        <v>567</v>
      </c>
      <c r="M91" s="1385" t="str">
        <f>I91</f>
        <v>на суму залишків запасів, що отримані з бюджету або як благодійна допомога (у тому числі від пацієнта), р. 1525.1+1525.3</v>
      </c>
      <c r="N91" s="1212" t="str">
        <f>J91</f>
        <v>на суму залишків капітальних інвестицій, що отримані з бюджету або як благодійна допомога, р. 1525.2</v>
      </c>
      <c r="O91" s="1112" t="s">
        <v>456</v>
      </c>
      <c r="P91" s="1212" t="s">
        <v>568</v>
      </c>
      <c r="Q91" s="1212" t="str">
        <f>'Звіт   9'!A98</f>
        <v>залишкова вартість НА,ОЗ що  придбані за кошти цільового фінансування</v>
      </c>
      <c r="R91" s="1112" t="s">
        <v>456</v>
      </c>
      <c r="S91" s="1212" t="s">
        <v>569</v>
      </c>
      <c r="T91" s="1212" t="str">
        <f>Q91</f>
        <v>залишкова вартість НА,ОЗ що  придбані за кошти цільового фінансування</v>
      </c>
      <c r="U91" s="1112" t="str">
        <f>R91</f>
        <v>відхилення</v>
      </c>
      <c r="V91" s="1274" t="s">
        <v>1256</v>
      </c>
      <c r="W91" s="1274" t="s">
        <v>1823</v>
      </c>
      <c r="X91" s="1274" t="s">
        <v>1824</v>
      </c>
      <c r="Y91" s="1112" t="s">
        <v>456</v>
      </c>
      <c r="Z91" s="1274" t="s">
        <v>1257</v>
      </c>
      <c r="AA91" s="1274" t="str">
        <f>W91</f>
        <v>у тому числі аванси за ПМГ, р. 1635.1</v>
      </c>
      <c r="AB91" s="1274" t="str">
        <f>X91</f>
        <v xml:space="preserve">у тому числі:
аванси за медичні та немедичні послуги за кошти фізичних і юридичних осіб, за страховими виплатами, р. 1635.2;
аванси за надання майна в оренду та компенсації за комунальні платежі від орендаря, р. 1635.3.
</v>
      </c>
      <c r="AC91" s="1112" t="str">
        <f>Y91</f>
        <v>відхилення</v>
      </c>
      <c r="AD91" s="1274" t="s">
        <v>1267</v>
      </c>
      <c r="AE91" s="1274" t="s">
        <v>1269</v>
      </c>
      <c r="AF91" s="1274" t="s">
        <v>1271</v>
      </c>
      <c r="AG91" s="1112" t="s">
        <v>456</v>
      </c>
      <c r="AH91" s="1105" t="s">
        <v>1268</v>
      </c>
      <c r="AI91" s="1105" t="s">
        <v>1270</v>
      </c>
      <c r="AJ91" s="1105" t="s">
        <v>1272</v>
      </c>
      <c r="AK91" s="1112" t="s">
        <v>456</v>
      </c>
      <c r="AL91" s="1228" t="s">
        <v>1273</v>
      </c>
      <c r="AM91" s="1228" t="s">
        <v>1274</v>
      </c>
      <c r="AN91" s="1228" t="s">
        <v>1275</v>
      </c>
      <c r="AO91" s="1228" t="s">
        <v>1408</v>
      </c>
      <c r="AP91" s="1228" t="s">
        <v>1407</v>
      </c>
      <c r="AQ91" s="1112" t="s">
        <v>1282</v>
      </c>
      <c r="AR91" s="1112" t="s">
        <v>1316</v>
      </c>
      <c r="AS91" s="1228" t="s">
        <v>1318</v>
      </c>
      <c r="AT91" s="1228" t="s">
        <v>1319</v>
      </c>
      <c r="AU91" s="1228" t="s">
        <v>1296</v>
      </c>
      <c r="AV91" s="1228" t="s">
        <v>1878</v>
      </c>
      <c r="AW91" s="1112" t="s">
        <v>1281</v>
      </c>
      <c r="AX91" s="1112" t="s">
        <v>1367</v>
      </c>
      <c r="AY91" s="1274" t="s">
        <v>1290</v>
      </c>
      <c r="AZ91" s="1274" t="s">
        <v>1320</v>
      </c>
      <c r="BA91" s="1274" t="s">
        <v>1321</v>
      </c>
      <c r="BB91" s="1128"/>
      <c r="BC91" s="1890"/>
      <c r="BD91" s="1824"/>
    </row>
    <row r="92" spans="1:57" s="458" customFormat="1" ht="224.25" customHeight="1" x14ac:dyDescent="0.3">
      <c r="A92" s="959"/>
      <c r="B92" s="1278"/>
      <c r="C92" s="1819"/>
      <c r="D92" s="1856"/>
      <c r="E92" s="1819"/>
      <c r="F92" s="1820"/>
      <c r="G92" s="1821"/>
      <c r="H92" s="1295">
        <f>ROUND(('Звіт   9'!H73),1)</f>
        <v>27137.3</v>
      </c>
      <c r="I92" s="1447">
        <f>ROUND(('Звіт   9'!H74+'Звіт   9'!H78),1)</f>
        <v>27030.7</v>
      </c>
      <c r="J92" s="1295">
        <f>ROUND(('Звіт   9'!H77),1)</f>
        <v>106.6</v>
      </c>
      <c r="K92" s="1268">
        <f>ROUND((H92-I92-J92),1)</f>
        <v>0</v>
      </c>
      <c r="L92" s="1295">
        <f>ROUND(('Звіт   9'!K73),1)</f>
        <v>30287.4</v>
      </c>
      <c r="M92" s="1447">
        <f>ROUND(('Звіт   9'!K74+'Звіт   9'!K78),1)</f>
        <v>30095.5</v>
      </c>
      <c r="N92" s="1295">
        <f>ROUND(('Звіт   9'!K77),1)</f>
        <v>191.9</v>
      </c>
      <c r="O92" s="1268">
        <f>ROUND((L92-M92-N92),1)</f>
        <v>0</v>
      </c>
      <c r="P92" s="1295">
        <f>ROUND(('Звіт   9'!H97),1)</f>
        <v>244.9</v>
      </c>
      <c r="Q92" s="1295">
        <f>ROUND(('Звіт   9'!H98),1)</f>
        <v>244.9</v>
      </c>
      <c r="R92" s="1268">
        <f>ROUND((P92-Q92),1)</f>
        <v>0</v>
      </c>
      <c r="S92" s="1295">
        <f>ROUND(('Звіт   9'!K97),1)</f>
        <v>1714.6</v>
      </c>
      <c r="T92" s="1295">
        <f>ROUND(('Звіт   9'!K98),1)</f>
        <v>1714.6</v>
      </c>
      <c r="U92" s="1268">
        <f>ROUND((S92-T92),1)</f>
        <v>0</v>
      </c>
      <c r="V92" s="1284">
        <f>ROUND(('Звіт   9'!H92),1)</f>
        <v>0</v>
      </c>
      <c r="W92" s="1284">
        <f>ROUND(('Звіт   9'!H93),1)</f>
        <v>0</v>
      </c>
      <c r="X92" s="1284">
        <f>ROUND(('Звіт   9'!H94+'Звіт   9'!H95),1)</f>
        <v>0</v>
      </c>
      <c r="Y92" s="1268">
        <f>ROUND((V92-W92-X92),1)</f>
        <v>0</v>
      </c>
      <c r="Z92" s="1284">
        <f>ROUND(('Звіт   9'!K92),1)</f>
        <v>0</v>
      </c>
      <c r="AA92" s="1284">
        <f>ROUND(('Звіт   9'!K93),1)</f>
        <v>0</v>
      </c>
      <c r="AB92" s="1284">
        <f>ROUND(('Звіт   9'!K94+'Звіт   9'!K95),1)</f>
        <v>0</v>
      </c>
      <c r="AC92" s="1268">
        <f>ROUND((Z92-AA92-AB92),1)</f>
        <v>0</v>
      </c>
      <c r="AD92" s="1284">
        <f>ROUND(('Звіт   9'!H78),1)</f>
        <v>0</v>
      </c>
      <c r="AE92" s="1284">
        <f>ROUND(('Звіт   9'!H37),1)</f>
        <v>0</v>
      </c>
      <c r="AF92" s="1284">
        <f>ROUND(('Звіт   9'!H49),1)</f>
        <v>3908.7</v>
      </c>
      <c r="AG92" s="1268">
        <f>ROUND((AE92+AF92-AD92),1)</f>
        <v>3908.7</v>
      </c>
      <c r="AH92" s="1267">
        <f>ROUND(('Звіт   9'!K78),1)</f>
        <v>894.1</v>
      </c>
      <c r="AI92" s="1267">
        <f>ROUND(('Звіт   9'!K37),1)</f>
        <v>0</v>
      </c>
      <c r="AJ92" s="1267">
        <f>ROUND(('Звіт   9'!K49),1)</f>
        <v>12727.5</v>
      </c>
      <c r="AK92" s="1268">
        <f>ROUND((AI92+AJ92-AH92),1)</f>
        <v>11833.4</v>
      </c>
      <c r="AL92" s="1345">
        <f>ROUND(('Звіт   9'!H62+'Звіт   9'!K62),1)</f>
        <v>0</v>
      </c>
      <c r="AM92" s="1249">
        <f>ROUND(('Звіт   9'!H96),1)</f>
        <v>0</v>
      </c>
      <c r="AN92" s="1249">
        <f>ROUND(('Звіт   9'!K96),1)</f>
        <v>0</v>
      </c>
      <c r="AO92" s="1249">
        <f>ROUND(('Звіт   4,5,6'!E43/1000/6),1)</f>
        <v>5558.7</v>
      </c>
      <c r="AP92" s="1249">
        <f>ROUND((AO92+'Звіт   4,5,6'!E43/1000/6/12*6),1)</f>
        <v>8338.1</v>
      </c>
      <c r="AQ92" s="1268">
        <f>ROUND((AO92-AM92),1)</f>
        <v>5558.7</v>
      </c>
      <c r="AR92" s="1268">
        <f>ROUND((AP92-AN92),1)</f>
        <v>8338.1</v>
      </c>
      <c r="AS92" s="1249">
        <f>ROUND(('Звіт   9'!H99),1)</f>
        <v>0</v>
      </c>
      <c r="AT92" s="1249">
        <f>ROUND(('Звіт   9'!K99),1)</f>
        <v>0</v>
      </c>
      <c r="AU92" s="1249">
        <f>ROUND(((('Звіт 1,2,3'!I58)/1000)),1)</f>
        <v>0</v>
      </c>
      <c r="AV92" s="1249">
        <f>ROUND(((AU92/6)*(2)),1)</f>
        <v>0</v>
      </c>
      <c r="AW92" s="1268">
        <f>ROUND((AV92-AS92),1)</f>
        <v>0</v>
      </c>
      <c r="AX92" s="1268">
        <f>ROUND((AV92-AT92),1)</f>
        <v>0</v>
      </c>
      <c r="AY92" s="1284">
        <f>ROUND(('Звіт 1,2,3'!G19/1000000),1)</f>
        <v>71.8</v>
      </c>
      <c r="AZ92" s="1284">
        <f>ROUND(('Звіт   9'!H100),1)</f>
        <v>0</v>
      </c>
      <c r="BA92" s="1284">
        <f>ROUND(('Звіт   9'!K100),1)</f>
        <v>0</v>
      </c>
      <c r="BB92" s="1346" t="str">
        <f>IF('Звіт   4,5,6'!E43=0,"Дані не введено",IF(AND(AY92&gt;=0,AZ92=0,BA92=0),"ПРАВДА",IF(AND(AY92&lt;=30,AZ92&lt;=100,BA92&lt;=100,AX93=0),"ПРАВДА",IF(AND(AY92&gt;30,AY92&lt;=60,AZ92&lt;=150,BA92&lt;=150,AX93=0),"ПРАВДА",IF(AND(AY92&gt;60,AY92&lt;=100,AZ92&lt;=300,BA92&lt;=300,AX93=0),"ПРАВДА",IF(AND(AY92&gt;100,AZ92&lt;=500,BA92&lt;=500,AX93=0),"ПРАВДА",IF(AX93=1,"ПРАВДА","ПОМИЛКА")))))))</f>
        <v>ПРАВДА</v>
      </c>
      <c r="BC92" s="1345">
        <f>ROUND(('Звіт   9'!H66+'Звіт   9'!K66),1)</f>
        <v>0</v>
      </c>
      <c r="BD92" s="1346" t="str">
        <f>'Звіт Пацієнт '!Q53</f>
        <v>ПРАВДА</v>
      </c>
    </row>
    <row r="93" spans="1:57" s="945" customFormat="1" ht="81.75" customHeight="1" x14ac:dyDescent="0.3">
      <c r="A93" s="943"/>
      <c r="B93" s="1279"/>
      <c r="C93" s="1149"/>
      <c r="D93" s="1392"/>
      <c r="E93" s="1149"/>
      <c r="F93" s="1149"/>
      <c r="G93" s="944"/>
      <c r="H93" s="1888" t="s">
        <v>1914</v>
      </c>
      <c r="I93" s="1888"/>
      <c r="J93" s="1888"/>
      <c r="K93" s="1888"/>
      <c r="L93" s="1888"/>
      <c r="M93" s="1888"/>
      <c r="N93" s="1888"/>
      <c r="O93" s="1888"/>
      <c r="P93" s="1885" t="s">
        <v>1913</v>
      </c>
      <c r="Q93" s="1885"/>
      <c r="R93" s="1885"/>
      <c r="S93" s="1885"/>
      <c r="T93" s="1885"/>
      <c r="U93" s="1885"/>
      <c r="V93" s="1877" t="s">
        <v>1291</v>
      </c>
      <c r="W93" s="1878"/>
      <c r="X93" s="1878"/>
      <c r="Y93" s="1879"/>
      <c r="Z93" s="1894" t="s">
        <v>1821</v>
      </c>
      <c r="AA93" s="1877" t="s">
        <v>1322</v>
      </c>
      <c r="AB93" s="1878"/>
      <c r="AC93" s="1878"/>
      <c r="AD93" s="1878"/>
      <c r="AE93" s="1879"/>
      <c r="AF93" s="1877" t="s">
        <v>1357</v>
      </c>
      <c r="AG93" s="1878"/>
      <c r="AH93" s="1878"/>
      <c r="AI93" s="1878"/>
      <c r="AJ93" s="1878"/>
      <c r="AK93" s="1879"/>
      <c r="AL93" s="1823" t="s">
        <v>2026</v>
      </c>
      <c r="AM93" s="1150"/>
      <c r="AN93" s="1151"/>
      <c r="AO93" s="1151"/>
      <c r="AP93" s="1152"/>
      <c r="AQ93" s="1152"/>
      <c r="AR93" s="1152"/>
      <c r="AS93" s="1152"/>
      <c r="AT93" s="1152"/>
      <c r="AU93" s="1152"/>
      <c r="AW93" s="1152"/>
      <c r="AX93" s="1153">
        <v>1</v>
      </c>
    </row>
    <row r="94" spans="1:57" ht="213" customHeight="1" x14ac:dyDescent="0.25">
      <c r="A94" s="223"/>
      <c r="B94" s="1278">
        <v>39</v>
      </c>
      <c r="C94" s="1819">
        <v>38</v>
      </c>
      <c r="D94" s="1856" t="s">
        <v>2025</v>
      </c>
      <c r="E94" s="1819" t="s">
        <v>326</v>
      </c>
      <c r="F94" s="1820" t="s">
        <v>332</v>
      </c>
      <c r="G94" s="1821" t="str">
        <f>IF('Звіт   4,5,6'!E43=0,"Дані не введено",IF(AND(K95&gt;=0,O95&gt;=0,R95&gt;=0,U95&gt;=0,'Звіт   9'!H27=0,'Звіт   9'!K27=0,Y95="ПРАВДА",AJ95&gt;=0,AK95&gt;=0,AL95="ПРАВДА"),"ПРАВДА","ПОМИЛКА"))</f>
        <v>ПРАВДА</v>
      </c>
      <c r="H94" s="1274" t="s">
        <v>1236</v>
      </c>
      <c r="I94" s="1274" t="s">
        <v>1819</v>
      </c>
      <c r="J94" s="1274" t="s">
        <v>1911</v>
      </c>
      <c r="K94" s="1112" t="s">
        <v>456</v>
      </c>
      <c r="L94" s="1274" t="s">
        <v>1237</v>
      </c>
      <c r="M94" s="1274" t="str">
        <f>I94</f>
        <v>у тому числі ПМГ, р.1125.1</v>
      </c>
      <c r="N94" s="1274" t="str">
        <f>J94</f>
        <v>у тому числі сума рядків  1125.2-1125.3</v>
      </c>
      <c r="O94" s="1112" t="s">
        <v>456</v>
      </c>
      <c r="P94" s="1274" t="s">
        <v>1906</v>
      </c>
      <c r="Q94" s="1274" t="s">
        <v>1907</v>
      </c>
      <c r="R94" s="1112" t="s">
        <v>456</v>
      </c>
      <c r="S94" s="1274" t="s">
        <v>1238</v>
      </c>
      <c r="T94" s="1274" t="str">
        <f>Q94</f>
        <v>сума  рядків 1155.1-1155.5</v>
      </c>
      <c r="U94" s="1112" t="str">
        <f>R94</f>
        <v>відхилення</v>
      </c>
      <c r="V94" s="1355" t="s">
        <v>1290</v>
      </c>
      <c r="W94" s="1355" t="s">
        <v>1288</v>
      </c>
      <c r="X94" s="1355" t="s">
        <v>1289</v>
      </c>
      <c r="Y94" s="1354"/>
      <c r="Z94" s="1895"/>
      <c r="AA94" s="1445"/>
      <c r="AB94" s="1355" t="s">
        <v>1290</v>
      </c>
      <c r="AC94" s="1355" t="s">
        <v>1323</v>
      </c>
      <c r="AD94" s="1355" t="s">
        <v>1324</v>
      </c>
      <c r="AE94" s="1356"/>
      <c r="AF94" s="1355" t="s">
        <v>1358</v>
      </c>
      <c r="AG94" s="1355" t="s">
        <v>1360</v>
      </c>
      <c r="AH94" s="1355" t="s">
        <v>1359</v>
      </c>
      <c r="AI94" s="1355" t="s">
        <v>1361</v>
      </c>
      <c r="AJ94" s="1112" t="s">
        <v>1362</v>
      </c>
      <c r="AK94" s="1112" t="s">
        <v>1362</v>
      </c>
      <c r="AL94" s="1824"/>
      <c r="AM94" s="1056"/>
      <c r="AN94" s="1056"/>
      <c r="AO94" s="1056"/>
      <c r="AP94" s="1056"/>
      <c r="AQ94" s="1056"/>
      <c r="AR94" s="1056"/>
      <c r="AS94" s="1056"/>
      <c r="AT94" s="1056"/>
      <c r="AU94" s="1056"/>
      <c r="AV94" s="1056"/>
      <c r="AW94" s="1056"/>
    </row>
    <row r="95" spans="1:57" ht="46.5" customHeight="1" x14ac:dyDescent="0.25">
      <c r="A95" s="223"/>
      <c r="B95" s="1278"/>
      <c r="C95" s="1819"/>
      <c r="D95" s="1856"/>
      <c r="E95" s="1819"/>
      <c r="F95" s="1820"/>
      <c r="G95" s="1821"/>
      <c r="H95" s="1284">
        <f>ROUND(('Звіт   9'!H32),1)</f>
        <v>0</v>
      </c>
      <c r="I95" s="1284">
        <f>ROUND(('Звіт   9'!H33),1)</f>
        <v>0</v>
      </c>
      <c r="J95" s="1284">
        <f>ROUND(('Звіт   9'!H34+'Звіт   9'!H35),1)</f>
        <v>0</v>
      </c>
      <c r="K95" s="1268">
        <f>ROUND((H95-I95-J95),1)</f>
        <v>0</v>
      </c>
      <c r="L95" s="1284">
        <f>ROUND(('Звіт   9'!K32),1)</f>
        <v>2.1</v>
      </c>
      <c r="M95" s="1284">
        <f>ROUND(('Звіт   9'!K33),1)</f>
        <v>0</v>
      </c>
      <c r="N95" s="1284">
        <f>ROUND(('Звіт   9'!K34+'Звіт   9'!K35),1)</f>
        <v>0</v>
      </c>
      <c r="O95" s="1268">
        <f>ROUND((L95-M95-N95),1)</f>
        <v>2.1</v>
      </c>
      <c r="P95" s="1284">
        <f>ROUND(('Звіт   9'!H40),1)</f>
        <v>495.8</v>
      </c>
      <c r="Q95" s="1284">
        <f>ROUND(('Звіт   9'!H41+'Звіт   9'!H42+'Звіт   9'!H43+'Звіт   9'!H46+'Звіт   9'!H47),1)</f>
        <v>269.8</v>
      </c>
      <c r="R95" s="1268">
        <f>ROUND((P95-Q95),1)</f>
        <v>226</v>
      </c>
      <c r="S95" s="1284">
        <f>ROUND(('Звіт   9'!K40),1)</f>
        <v>827.8</v>
      </c>
      <c r="T95" s="1284">
        <f>ROUND(('Звіт   9'!K41+'Звіт   9'!K42+'Звіт   9'!K43+'Звіт   9'!K46+'Звіт   9'!K47),1)</f>
        <v>601</v>
      </c>
      <c r="U95" s="1268">
        <f>ROUND((S95-T95),1)</f>
        <v>226.8</v>
      </c>
      <c r="V95" s="1357">
        <f>ROUND(('Звіт 1,2,3'!G19/1000000),1)</f>
        <v>71.8</v>
      </c>
      <c r="W95" s="1360">
        <f>ROUND(('Звіт   9'!H50),1)</f>
        <v>4.7</v>
      </c>
      <c r="X95" s="1360">
        <f>ROUND(('Звіт   9'!K50),1)</f>
        <v>14.2</v>
      </c>
      <c r="Y95" s="1358" t="str">
        <f>IF('Звіт   4,5,6'!E43=0,"Дані не введено",IF(AND(V95&gt;=0,W95=0,X95=0),"ПРАВДА",IF(AND(V95&lt;=30,W95&lt;=40,X95&lt;=40,Y96=0),"ПРАВДА",IF(AND(V95&gt;30,V95&lt;=60,W95&lt;=50,X95&lt;=50,Y96=0),"ПРАВДА",IF(AND(V95&gt;60,V95&lt;=100,W95&lt;=70,X95&lt;=70,Y96=0),"ПРАВДА",IF(AND(V95&gt;100,W95&lt;=100,X95&lt;=100,Y96=0),"ПРАВДА",IF(Y96=1,"ПРАВДА","ПОМИЛКА")))))))</f>
        <v>ПРАВДА</v>
      </c>
      <c r="Z95" s="1446">
        <f>ROUND(('Звіт   9'!H27+'Звіт   9'!K27),1)</f>
        <v>0</v>
      </c>
      <c r="AA95" s="1446"/>
      <c r="AB95" s="1357">
        <f>ROUND(('Звіт 1,2,3'!G19/1000000),1)</f>
        <v>71.8</v>
      </c>
      <c r="AC95" s="1360">
        <f>ROUND(('Звіт   9'!H51),1)</f>
        <v>0</v>
      </c>
      <c r="AD95" s="1360">
        <f>ROUND(('Звіт   9'!K51),1)</f>
        <v>0</v>
      </c>
      <c r="AE95" s="1358" t="str">
        <f>IF('Звіт   4,5,6'!E43=0,"Дані не введено",IF(AND(AB95&gt;=0,AC95=0,AD95=0),"ПРАВДА",IF(AND(AB95&lt;=30,AC95&lt;=100,AD95&lt;=100,AE96=0),"ПРАВДА",IF(AND(AB95&gt;30,AB95&lt;=60,AC95&lt;=200,AD95&lt;=200,AE96=0),"ПРАВДА",IF(AND(AB95&gt;60,AB95&lt;=100,AC95&lt;=400,AD95&lt;=400,AE96=0),"ПРАВДА",IF(AND(AB95&gt;100,AC95&lt;=500,AD95&lt;=500,AE96=0),"ПРАВДА",IF(AE96=1,"ПРАВДА","ПОМИЛКА")))))))</f>
        <v>ПРАВДА</v>
      </c>
      <c r="AF95" s="1360">
        <f>ROUND(('Звіт   9'!H42),1)</f>
        <v>0</v>
      </c>
      <c r="AG95" s="1360">
        <f>ROUND(('Звіт   9'!H84),1)</f>
        <v>707.6</v>
      </c>
      <c r="AH95" s="1360">
        <f>ROUND(('Звіт   9'!K42),1)</f>
        <v>0</v>
      </c>
      <c r="AI95" s="1360">
        <f>ROUND(('Звіт   9'!K84),1)</f>
        <v>0</v>
      </c>
      <c r="AJ95" s="1359">
        <f>ROUND((AG95-AF95),1)</f>
        <v>707.6</v>
      </c>
      <c r="AK95" s="1359">
        <f>ROUND((AI95-AH95),1)</f>
        <v>0</v>
      </c>
      <c r="AL95" s="1346" t="str">
        <f>'Звіт Пацієнт '!Q52</f>
        <v>ПРАВДА</v>
      </c>
      <c r="AM95" s="1056"/>
      <c r="AN95" s="1056"/>
      <c r="AO95" s="1056"/>
      <c r="AP95" s="1056"/>
      <c r="AQ95" s="1056"/>
      <c r="AR95" s="1056"/>
      <c r="AS95" s="1056"/>
      <c r="AT95" s="1056"/>
      <c r="AU95" s="1056"/>
      <c r="AV95" s="1056"/>
      <c r="AW95" s="1056"/>
    </row>
    <row r="96" spans="1:57" s="942" customFormat="1" ht="139.5" customHeight="1" x14ac:dyDescent="0.25">
      <c r="A96" s="941"/>
      <c r="B96" s="1280">
        <v>40</v>
      </c>
      <c r="C96" s="1819">
        <v>39</v>
      </c>
      <c r="D96" s="1856" t="s">
        <v>1825</v>
      </c>
      <c r="E96" s="1819" t="s">
        <v>326</v>
      </c>
      <c r="F96" s="1820" t="s">
        <v>332</v>
      </c>
      <c r="G96" s="1821" t="str">
        <f>IF('Звіт   4,5,6'!E43=0,"Дані не введено",IF(AND(M97=100,T97=100),"ПРАВДА",IF(AND(M97&gt;=98,M97&lt;=102,T97&gt;=98,T97&lt;=102),"Увага",IF(V97=1,"ПРАВДА","ПОМИЛКА"))))</f>
        <v>ПРАВДА</v>
      </c>
      <c r="H96" s="1283" t="s">
        <v>1302</v>
      </c>
      <c r="I96" s="1282" t="s">
        <v>1354</v>
      </c>
      <c r="J96" s="1361" t="s">
        <v>1303</v>
      </c>
      <c r="K96" s="1350" t="s">
        <v>1396</v>
      </c>
      <c r="L96" s="1351" t="s">
        <v>1348</v>
      </c>
      <c r="M96" s="1352" t="s">
        <v>1820</v>
      </c>
      <c r="N96" s="1352" t="s">
        <v>1893</v>
      </c>
      <c r="O96" s="1348" t="s">
        <v>1298</v>
      </c>
      <c r="P96" s="1349" t="s">
        <v>1355</v>
      </c>
      <c r="Q96" s="1349" t="s">
        <v>1299</v>
      </c>
      <c r="R96" s="1350" t="s">
        <v>1397</v>
      </c>
      <c r="S96" s="1351" t="s">
        <v>1347</v>
      </c>
      <c r="T96" s="1352" t="s">
        <v>1893</v>
      </c>
      <c r="U96" s="1352" t="s">
        <v>1893</v>
      </c>
      <c r="V96" s="1150"/>
      <c r="W96" s="944"/>
      <c r="X96" s="944"/>
      <c r="Y96" s="1116"/>
      <c r="Z96" s="944"/>
      <c r="AA96" s="1154"/>
      <c r="AB96" s="1155"/>
      <c r="AC96" s="1154"/>
      <c r="AD96" s="1154"/>
      <c r="AE96" s="1353"/>
      <c r="AH96" s="1154"/>
      <c r="AI96" s="1154"/>
      <c r="AJ96" s="1154"/>
      <c r="AK96" s="1154"/>
      <c r="AM96" s="1154"/>
      <c r="AN96" s="1154"/>
      <c r="AO96" s="1154"/>
      <c r="AP96" s="1154"/>
      <c r="AQ96" s="1154"/>
      <c r="AR96" s="1154"/>
      <c r="AS96" s="1154"/>
      <c r="AT96" s="1154"/>
      <c r="AU96" s="1154"/>
      <c r="AV96" s="1154"/>
      <c r="AW96" s="1154"/>
      <c r="AX96" s="1154"/>
      <c r="AY96" s="1154"/>
      <c r="AZ96" s="1154"/>
      <c r="BA96" s="1154"/>
      <c r="BB96" s="1154"/>
      <c r="BC96" s="1154"/>
    </row>
    <row r="97" spans="1:55" s="942" customFormat="1" ht="37.5" customHeight="1" x14ac:dyDescent="0.3">
      <c r="A97" s="941"/>
      <c r="B97" s="1280"/>
      <c r="C97" s="1819"/>
      <c r="D97" s="1856"/>
      <c r="E97" s="1819"/>
      <c r="F97" s="1820"/>
      <c r="G97" s="1821"/>
      <c r="H97" s="1285">
        <f>ROUND(('Звіт   9'!H64),1)</f>
        <v>4743.6000000000004</v>
      </c>
      <c r="I97" s="1284">
        <f>'Звіт   9'!H32+'Звіт   9'!H37+'Звіт   9'!H38+'Звіт   9'!H40+'Звіт   9'!H48+'Звіт   9'!H49+'Звіт   9'!H50+'Звіт   9'!H51+'Звіт   9'!H31</f>
        <v>4413.1000000000004</v>
      </c>
      <c r="J97" s="1362">
        <f>'Звіт   9'!H78+'Звіт   9'!H81+'Звіт   9'!H83+'Звіт   9'!H84+'Звіт   9'!H85+'Звіт   9'!H87+'Звіт   9'!H88+'Звіт   9'!H92+'Звіт   9'!H96-'Звіт   9'!H96*('Звіт   4,5,6'!O43/'Звіт   4,5,6'!E43)+'Звіт   9'!H99+'Звіт   9'!H100</f>
        <v>1251.9000000000001</v>
      </c>
      <c r="K97" s="1284">
        <f>('Звіт 10, 11,12,13,14'!L11-'Звіт 10, 11,12,13,14'!L12+'Звіт 10, 11,12,13,14'!L17+'Звіт 10, 11,12,13,14'!L21-'Звіт 10, 11,12,13,14'!L22+'Звіт 10, 11,12,13,14'!L27)/1000</f>
        <v>1582.4</v>
      </c>
      <c r="L97" s="1268">
        <f>I97+K97-J97</f>
        <v>4743.6000000000004</v>
      </c>
      <c r="M97" s="1269">
        <f>IFERROR((L97/H97)*100,0)</f>
        <v>100</v>
      </c>
      <c r="N97" s="1269">
        <f>L97-H97</f>
        <v>0</v>
      </c>
      <c r="O97" s="1285">
        <f>ROUND(('Звіт   9'!K64),1)</f>
        <v>9466.1</v>
      </c>
      <c r="P97" s="1284">
        <f>'Звіт   9'!$K$32+'Звіт   9'!$K$37+'Звіт   9'!$K$38+'Звіт   9'!$K$40+'Звіт   9'!$K$48+'Звіт   9'!$K$49+'Звіт   9'!$K$50+'Звіт   9'!$K$51+'Звіт   9'!K31</f>
        <v>13580.7</v>
      </c>
      <c r="Q97" s="1284">
        <f>'Звіт   9'!$K$81+'Звіт   9'!$K$83+'Звіт   9'!$K$84+'Звіт   9'!$K$85+'Звіт   9'!$K$87+'Звіт   9'!$K$88+'Звіт   9'!$K$92+'Звіт   9'!$K$96-'Звіт   9'!$K$96*('Звіт   4,5,6'!O43/'Звіт   4,5,6'!E43)+'Звіт   9'!$K$99+'Звіт   9'!$K$100+'Звіт   9'!K78</f>
        <v>5934.3</v>
      </c>
      <c r="R97" s="1284">
        <f>('Звіт 10, 11,12,13,14'!AH11-'Звіт 10, 11,12,13,14'!AH12+'Звіт 10, 11,12,13,14'!AH17+'Звіт 10, 11,12,13,14'!AH21-'Звіт 10, 11,12,13,14'!AH22+'Звіт 10, 11,12,13,14'!AH27-'Звіт 10, 11,12,13,14'!Y22)/1000</f>
        <v>1819.7</v>
      </c>
      <c r="S97" s="1284">
        <f>P97+R97-Q97</f>
        <v>9466.1</v>
      </c>
      <c r="T97" s="1269">
        <f>IFERROR((S97/O97)*100,0)</f>
        <v>100</v>
      </c>
      <c r="U97" s="1269">
        <f>S97-O97</f>
        <v>0</v>
      </c>
      <c r="V97" s="1387"/>
      <c r="W97" s="944"/>
      <c r="X97" s="944"/>
      <c r="Y97" s="944"/>
      <c r="Z97" s="944"/>
      <c r="AA97" s="1154"/>
      <c r="AB97" s="1155"/>
      <c r="AC97" s="1155"/>
      <c r="AD97" s="1155"/>
      <c r="AE97" s="1154"/>
      <c r="AF97" s="1154"/>
      <c r="AG97" s="1154"/>
      <c r="AH97" s="1154"/>
      <c r="AI97" s="1154"/>
      <c r="AJ97" s="1154"/>
      <c r="AK97" s="1154"/>
      <c r="AL97" s="1154"/>
      <c r="AM97" s="1154"/>
      <c r="AN97" s="1154"/>
      <c r="AO97" s="1154"/>
      <c r="AP97" s="1154"/>
      <c r="AQ97" s="1154"/>
      <c r="AR97" s="1154"/>
      <c r="AS97" s="1154"/>
      <c r="AT97" s="1154"/>
      <c r="AU97" s="1154"/>
      <c r="AV97" s="1154"/>
      <c r="AW97" s="1154"/>
      <c r="AX97" s="1154"/>
      <c r="AY97" s="1154"/>
      <c r="AZ97" s="1154"/>
      <c r="BA97" s="1154"/>
      <c r="BB97" s="1154"/>
      <c r="BC97" s="1154"/>
    </row>
    <row r="98" spans="1:55" ht="46.15" customHeight="1" x14ac:dyDescent="0.3">
      <c r="A98" s="223"/>
      <c r="B98" s="1278">
        <v>41</v>
      </c>
      <c r="C98" s="1825">
        <v>40</v>
      </c>
      <c r="D98" s="1840" t="s">
        <v>570</v>
      </c>
      <c r="E98" s="1819" t="s">
        <v>326</v>
      </c>
      <c r="F98" s="1820" t="s">
        <v>332</v>
      </c>
      <c r="G98" s="1821" t="str">
        <f>IF('Звіт   4,5,6'!E43=0,"Дані не введено",IF(AND(H99=0,I99=0),"ПРАВДА","ПОМИЛКА"))</f>
        <v>ПРАВДА</v>
      </c>
      <c r="H98" s="1212" t="s">
        <v>571</v>
      </c>
      <c r="I98" s="1212" t="s">
        <v>572</v>
      </c>
      <c r="J98" s="1076"/>
      <c r="K98" s="1083"/>
      <c r="M98" s="1156"/>
      <c r="N98" s="1071"/>
      <c r="O98" s="1071"/>
      <c r="P98" s="1057"/>
      <c r="R98" s="1056"/>
      <c r="S98" s="1056"/>
      <c r="T98" s="1057"/>
      <c r="U98" s="1057"/>
      <c r="V98" s="1057"/>
      <c r="W98" s="1057"/>
      <c r="X98" s="1057"/>
      <c r="Y98" s="1057"/>
      <c r="Z98" s="1057"/>
      <c r="AA98" s="1057"/>
      <c r="AB98" s="1057"/>
      <c r="AC98" s="1057"/>
      <c r="AD98" s="1057"/>
      <c r="AE98" s="1056"/>
      <c r="AF98" s="1056"/>
      <c r="AG98" s="1056"/>
      <c r="AH98" s="1056"/>
      <c r="AI98" s="1056"/>
      <c r="AJ98" s="1056"/>
      <c r="AK98" s="1056"/>
      <c r="AL98" s="1056"/>
      <c r="AM98" s="1056"/>
      <c r="AN98" s="1056"/>
      <c r="AO98" s="1056"/>
      <c r="AP98" s="1056"/>
      <c r="AQ98" s="1056"/>
      <c r="AR98" s="1056"/>
      <c r="AS98" s="1056"/>
      <c r="AT98" s="1056"/>
      <c r="AU98" s="1056"/>
      <c r="AV98" s="1056"/>
      <c r="AW98" s="1056"/>
      <c r="AX98" s="1056"/>
      <c r="AY98" s="1056"/>
      <c r="AZ98" s="1056"/>
      <c r="BA98" s="1056"/>
      <c r="BB98" s="1056"/>
      <c r="BC98" s="1056"/>
    </row>
    <row r="99" spans="1:55" ht="46.15" customHeight="1" x14ac:dyDescent="0.3">
      <c r="A99" s="223"/>
      <c r="B99" s="1278"/>
      <c r="C99" s="1826"/>
      <c r="D99" s="1840"/>
      <c r="E99" s="1819"/>
      <c r="F99" s="1820"/>
      <c r="G99" s="1821"/>
      <c r="H99" s="1310">
        <f>'Звіт   9'!H63</f>
        <v>0</v>
      </c>
      <c r="I99" s="1310">
        <f>'Звіт   9'!K63</f>
        <v>0</v>
      </c>
      <c r="J99" s="1076"/>
      <c r="K99" s="1083"/>
      <c r="L99" s="1083"/>
      <c r="M99" s="1157"/>
      <c r="N99" s="1083"/>
      <c r="O99" s="1071"/>
      <c r="P99" s="1071"/>
      <c r="Q99" s="1057"/>
      <c r="R99" s="1057"/>
      <c r="S99" s="1057"/>
      <c r="T99" s="1057"/>
      <c r="U99" s="1057"/>
      <c r="V99" s="1057"/>
      <c r="W99" s="1057"/>
      <c r="X99" s="1057"/>
      <c r="Y99" s="1057"/>
      <c r="Z99" s="1057"/>
      <c r="AA99" s="1057"/>
      <c r="AB99" s="1057"/>
      <c r="AC99" s="1057"/>
      <c r="AD99" s="1057"/>
      <c r="AE99" s="1056"/>
      <c r="AF99" s="1056"/>
      <c r="AG99" s="1056"/>
      <c r="AH99" s="1056"/>
      <c r="AI99" s="1056"/>
      <c r="AJ99" s="1056"/>
      <c r="AK99" s="1056"/>
      <c r="AL99" s="1056"/>
      <c r="AM99" s="1056"/>
      <c r="AN99" s="1056"/>
      <c r="AO99" s="1056"/>
      <c r="AP99" s="1056"/>
      <c r="AQ99" s="1056"/>
      <c r="AR99" s="1056"/>
      <c r="AS99" s="1056"/>
      <c r="AT99" s="1056"/>
      <c r="AU99" s="1056"/>
      <c r="AV99" s="1056"/>
      <c r="AW99" s="1056"/>
      <c r="AX99" s="1056"/>
      <c r="AY99" s="1056"/>
      <c r="AZ99" s="1056"/>
      <c r="BA99" s="1056"/>
      <c r="BB99" s="1056"/>
      <c r="BC99" s="1056"/>
    </row>
    <row r="100" spans="1:55" ht="46.15" customHeight="1" x14ac:dyDescent="0.3">
      <c r="A100" s="223"/>
      <c r="B100" s="1278">
        <v>42</v>
      </c>
      <c r="C100" s="1825">
        <v>41</v>
      </c>
      <c r="D100" s="1840" t="s">
        <v>573</v>
      </c>
      <c r="E100" s="1819" t="s">
        <v>326</v>
      </c>
      <c r="F100" s="1820" t="s">
        <v>332</v>
      </c>
      <c r="G100" s="1821" t="str">
        <f>IF('Звіт   4,5,6'!E43=0,"Дані не введено",IF(AND(H101=0,I101=0),"ПРАВДА","ПОМИЛКА"))</f>
        <v>ПРАВДА</v>
      </c>
      <c r="H100" s="1220" t="s">
        <v>574</v>
      </c>
      <c r="I100" s="1220" t="s">
        <v>575</v>
      </c>
      <c r="J100" s="1076"/>
      <c r="K100" s="1083"/>
      <c r="L100" s="1083"/>
      <c r="M100" s="1157"/>
      <c r="N100" s="1083"/>
      <c r="O100" s="1071"/>
      <c r="P100" s="1071"/>
      <c r="Q100" s="1057"/>
      <c r="R100" s="1057"/>
      <c r="S100" s="1057"/>
      <c r="T100" s="1057"/>
      <c r="U100" s="1057"/>
      <c r="V100" s="1057"/>
      <c r="W100" s="1071"/>
      <c r="X100" s="1071"/>
      <c r="Y100" s="1071"/>
      <c r="Z100" s="1071"/>
      <c r="AA100" s="1057"/>
      <c r="AB100" s="1057"/>
      <c r="AC100" s="1057"/>
      <c r="AD100" s="1057"/>
      <c r="AE100" s="1056"/>
      <c r="AF100" s="1056"/>
      <c r="AG100" s="1056"/>
      <c r="AH100" s="1056"/>
      <c r="AI100" s="1056"/>
      <c r="AJ100" s="1056"/>
      <c r="AK100" s="1056"/>
      <c r="AL100" s="1056"/>
      <c r="AM100" s="1056"/>
      <c r="AN100" s="1056"/>
      <c r="AO100" s="1056"/>
      <c r="AP100" s="1056"/>
      <c r="AQ100" s="1056"/>
      <c r="AR100" s="1056"/>
      <c r="AS100" s="1056"/>
      <c r="AT100" s="1056"/>
      <c r="AU100" s="1056"/>
      <c r="AV100" s="1056"/>
      <c r="AW100" s="1056"/>
      <c r="AX100" s="1056"/>
      <c r="AY100" s="1056"/>
      <c r="AZ100" s="1056"/>
      <c r="BA100" s="1056"/>
      <c r="BB100" s="1056"/>
      <c r="BC100" s="1056"/>
    </row>
    <row r="101" spans="1:55" ht="46.15" customHeight="1" x14ac:dyDescent="0.3">
      <c r="A101" s="223"/>
      <c r="B101" s="1278"/>
      <c r="C101" s="1826"/>
      <c r="D101" s="1840"/>
      <c r="E101" s="1819"/>
      <c r="F101" s="1820"/>
      <c r="G101" s="1821"/>
      <c r="H101" s="1310">
        <f>'Звіт   9'!H69</f>
        <v>0</v>
      </c>
      <c r="I101" s="1310">
        <f>'Звіт   9'!K69</f>
        <v>0</v>
      </c>
      <c r="J101" s="1076"/>
      <c r="K101" s="1083"/>
      <c r="L101" s="1083"/>
      <c r="M101" s="1157"/>
      <c r="N101" s="1083"/>
      <c r="O101" s="1071"/>
      <c r="P101" s="1071"/>
      <c r="Q101" s="1057"/>
      <c r="R101" s="1057"/>
      <c r="S101" s="1057"/>
      <c r="T101" s="1057"/>
      <c r="U101" s="1057"/>
      <c r="V101" s="1057"/>
      <c r="W101" s="1071"/>
      <c r="X101" s="1071"/>
      <c r="Y101" s="1071"/>
      <c r="Z101" s="1071"/>
      <c r="AA101" s="1057"/>
      <c r="AB101" s="1057"/>
      <c r="AC101" s="1057"/>
      <c r="AD101" s="1057"/>
      <c r="AE101" s="1056"/>
      <c r="AF101" s="1056"/>
      <c r="AG101" s="1056"/>
      <c r="AH101" s="1056"/>
      <c r="AI101" s="1056"/>
      <c r="AJ101" s="1056"/>
      <c r="AK101" s="1056"/>
      <c r="AL101" s="1056"/>
      <c r="AM101" s="1056"/>
      <c r="AN101" s="1056"/>
      <c r="AO101" s="1056"/>
      <c r="AP101" s="1056"/>
      <c r="AQ101" s="1056"/>
      <c r="AR101" s="1056"/>
      <c r="AS101" s="1056"/>
      <c r="AT101" s="1056"/>
      <c r="AU101" s="1056"/>
      <c r="AV101" s="1056"/>
      <c r="AW101" s="1056"/>
      <c r="AX101" s="1056"/>
      <c r="AY101" s="1056"/>
      <c r="AZ101" s="1056"/>
      <c r="BA101" s="1056"/>
      <c r="BB101" s="1056"/>
      <c r="BC101" s="1056"/>
    </row>
    <row r="102" spans="1:55" ht="46.15" customHeight="1" x14ac:dyDescent="0.3">
      <c r="A102" s="223"/>
      <c r="B102" s="1278">
        <v>43</v>
      </c>
      <c r="C102" s="1825">
        <v>42</v>
      </c>
      <c r="D102" s="1840" t="s">
        <v>576</v>
      </c>
      <c r="E102" s="1819" t="s">
        <v>326</v>
      </c>
      <c r="F102" s="1828" t="s">
        <v>334</v>
      </c>
      <c r="G102" s="1821" t="str">
        <f>IF('Звіт   4,5,6'!E43=0,"Дані не введено",IF(AND(H103=0,I103=0),"ПРАВДА", "ПОМИЛКА"))</f>
        <v>ПРАВДА</v>
      </c>
      <c r="H102" s="1220" t="s">
        <v>577</v>
      </c>
      <c r="I102" s="1220" t="s">
        <v>578</v>
      </c>
      <c r="J102" s="1076"/>
      <c r="K102" s="1083"/>
      <c r="L102" s="1083"/>
      <c r="M102" s="1157"/>
      <c r="N102" s="1083"/>
      <c r="O102" s="1071"/>
      <c r="P102" s="1071"/>
      <c r="Q102" s="1057"/>
      <c r="R102" s="1057"/>
      <c r="S102" s="1057"/>
      <c r="T102" s="1057"/>
      <c r="U102" s="1057"/>
      <c r="V102" s="1057"/>
      <c r="W102" s="1071"/>
      <c r="X102" s="1071"/>
      <c r="Y102" s="1071"/>
      <c r="Z102" s="1071"/>
      <c r="AA102" s="1057"/>
      <c r="AB102" s="1057"/>
      <c r="AC102" s="1057"/>
      <c r="AD102" s="1057"/>
      <c r="AE102" s="1056"/>
      <c r="AF102" s="1056"/>
      <c r="AG102" s="1056"/>
      <c r="AH102" s="1056"/>
      <c r="AI102" s="1056"/>
      <c r="AJ102" s="1056"/>
      <c r="AK102" s="1056"/>
      <c r="AL102" s="1056"/>
      <c r="AM102" s="1056"/>
      <c r="AN102" s="1056"/>
      <c r="AO102" s="1056"/>
      <c r="AP102" s="1056"/>
      <c r="AQ102" s="1056"/>
      <c r="AR102" s="1056"/>
      <c r="AS102" s="1056"/>
      <c r="AT102" s="1056"/>
      <c r="AU102" s="1056"/>
      <c r="AV102" s="1056"/>
      <c r="AW102" s="1056"/>
      <c r="AX102" s="1056"/>
      <c r="AY102" s="1056"/>
      <c r="AZ102" s="1056"/>
      <c r="BA102" s="1056"/>
      <c r="BB102" s="1056"/>
      <c r="BC102" s="1056"/>
    </row>
    <row r="103" spans="1:55" ht="25.5" customHeight="1" x14ac:dyDescent="0.3">
      <c r="A103" s="223"/>
      <c r="B103" s="1278"/>
      <c r="C103" s="1826"/>
      <c r="D103" s="1840"/>
      <c r="E103" s="1819"/>
      <c r="F103" s="1828"/>
      <c r="G103" s="1821"/>
      <c r="H103" s="1310">
        <f>'Звіт   9'!H70</f>
        <v>0</v>
      </c>
      <c r="I103" s="1310">
        <f>'Звіт   9'!K70</f>
        <v>0</v>
      </c>
      <c r="J103" s="1076"/>
      <c r="K103" s="1083"/>
      <c r="L103" s="1083"/>
      <c r="M103" s="1157"/>
      <c r="N103" s="1083"/>
      <c r="O103" s="1071"/>
      <c r="P103" s="1071"/>
      <c r="Q103" s="1057"/>
      <c r="R103" s="1057"/>
      <c r="S103" s="1057"/>
      <c r="T103" s="1057"/>
      <c r="U103" s="1057"/>
      <c r="V103" s="1057"/>
      <c r="W103" s="1071"/>
      <c r="X103" s="1071"/>
      <c r="Y103" s="1071"/>
      <c r="Z103" s="1071"/>
      <c r="AA103" s="1057"/>
      <c r="AB103" s="1057"/>
      <c r="AC103" s="1057"/>
      <c r="AD103" s="1057"/>
      <c r="AE103" s="1056"/>
      <c r="AF103" s="1056"/>
      <c r="AG103" s="1056"/>
      <c r="AH103" s="1056"/>
      <c r="AI103" s="1056"/>
      <c r="AJ103" s="1056"/>
      <c r="AK103" s="1056"/>
      <c r="AL103" s="1056"/>
      <c r="AM103" s="1056"/>
      <c r="AN103" s="1056"/>
      <c r="AO103" s="1056"/>
      <c r="AP103" s="1056"/>
      <c r="AQ103" s="1056"/>
      <c r="AR103" s="1056"/>
      <c r="AS103" s="1056"/>
      <c r="AT103" s="1056"/>
      <c r="AU103" s="1056"/>
      <c r="AV103" s="1056"/>
      <c r="AW103" s="1056"/>
      <c r="AX103" s="1056"/>
      <c r="AY103" s="1056"/>
      <c r="AZ103" s="1056"/>
      <c r="BA103" s="1056"/>
      <c r="BB103" s="1056"/>
      <c r="BC103" s="1056"/>
    </row>
    <row r="104" spans="1:55" ht="46.15" customHeight="1" x14ac:dyDescent="0.3">
      <c r="A104" s="223"/>
      <c r="B104" s="1278">
        <v>44</v>
      </c>
      <c r="C104" s="1825">
        <v>43</v>
      </c>
      <c r="D104" s="1840" t="s">
        <v>579</v>
      </c>
      <c r="E104" s="1819" t="s">
        <v>326</v>
      </c>
      <c r="F104" s="1828" t="s">
        <v>334</v>
      </c>
      <c r="G104" s="1821" t="str">
        <f>IF('Звіт   4,5,6'!E43=0,"Дані не введено",IF(AND(H105=0,I105=0),"ПРАВДА", "ПОМИЛКА"))</f>
        <v>ПРАВДА</v>
      </c>
      <c r="H104" s="1220" t="s">
        <v>580</v>
      </c>
      <c r="I104" s="1220" t="s">
        <v>581</v>
      </c>
      <c r="J104" s="1076"/>
      <c r="K104" s="1083"/>
      <c r="L104" s="1083"/>
      <c r="M104" s="1083"/>
      <c r="N104" s="1083"/>
      <c r="O104" s="1071"/>
      <c r="P104" s="1071"/>
      <c r="Q104" s="1057"/>
      <c r="R104" s="1057"/>
      <c r="S104" s="1057"/>
      <c r="T104" s="1057"/>
      <c r="U104" s="1057"/>
      <c r="V104" s="1057"/>
      <c r="W104" s="1071"/>
      <c r="X104" s="1071"/>
      <c r="Y104" s="1071"/>
      <c r="Z104" s="1071"/>
      <c r="AA104" s="1057"/>
      <c r="AB104" s="1057"/>
      <c r="AC104" s="1057"/>
      <c r="AD104" s="1057"/>
      <c r="AE104" s="1056"/>
      <c r="AF104" s="1056"/>
      <c r="AG104" s="1056"/>
      <c r="AH104" s="1056"/>
      <c r="AI104" s="1056"/>
      <c r="AJ104" s="1056"/>
      <c r="AK104" s="1056"/>
      <c r="AL104" s="1056"/>
      <c r="AM104" s="1056"/>
      <c r="AN104" s="1056"/>
      <c r="AO104" s="1056"/>
      <c r="AP104" s="1056"/>
      <c r="AQ104" s="1056"/>
      <c r="AR104" s="1056"/>
      <c r="AS104" s="1056"/>
      <c r="AT104" s="1056"/>
      <c r="AU104" s="1056"/>
      <c r="AV104" s="1056"/>
      <c r="AW104" s="1056"/>
      <c r="AX104" s="1056"/>
      <c r="AY104" s="1056"/>
      <c r="AZ104" s="1056"/>
      <c r="BA104" s="1056"/>
      <c r="BB104" s="1056"/>
      <c r="BC104" s="1056"/>
    </row>
    <row r="105" spans="1:55" ht="48" customHeight="1" x14ac:dyDescent="0.3">
      <c r="A105" s="223"/>
      <c r="B105" s="1278"/>
      <c r="C105" s="1826"/>
      <c r="D105" s="1840"/>
      <c r="E105" s="1819"/>
      <c r="F105" s="1828"/>
      <c r="G105" s="1821"/>
      <c r="H105" s="1310">
        <f>'Звіт   9'!H71</f>
        <v>0</v>
      </c>
      <c r="I105" s="1310">
        <f>'Звіт   9'!K71</f>
        <v>0</v>
      </c>
      <c r="J105" s="1076"/>
      <c r="K105" s="1083"/>
      <c r="L105" s="1083"/>
      <c r="M105" s="1083"/>
      <c r="N105" s="1083"/>
      <c r="O105" s="1071"/>
      <c r="P105" s="1071"/>
      <c r="Q105" s="1057"/>
      <c r="R105" s="1057"/>
      <c r="S105" s="1057"/>
      <c r="T105" s="1057"/>
      <c r="U105" s="1057"/>
      <c r="V105" s="1057"/>
      <c r="W105" s="1071"/>
      <c r="X105" s="1071"/>
      <c r="Y105" s="1071"/>
      <c r="Z105" s="1071"/>
      <c r="AA105" s="1057"/>
      <c r="AB105" s="1057"/>
      <c r="AC105" s="1057"/>
      <c r="AD105" s="1057"/>
      <c r="AE105" s="1056"/>
      <c r="AF105" s="1056"/>
      <c r="AG105" s="1056"/>
      <c r="AH105" s="1056"/>
      <c r="AI105" s="1056"/>
      <c r="AJ105" s="1056"/>
      <c r="AK105" s="1056"/>
      <c r="AL105" s="1056"/>
      <c r="AM105" s="1056"/>
      <c r="AN105" s="1056"/>
      <c r="AO105" s="1056"/>
      <c r="AP105" s="1056"/>
      <c r="AQ105" s="1056"/>
      <c r="AR105" s="1056"/>
      <c r="AS105" s="1056"/>
      <c r="AT105" s="1056"/>
      <c r="AU105" s="1056"/>
      <c r="AV105" s="1056"/>
      <c r="AW105" s="1056"/>
      <c r="AX105" s="1056"/>
      <c r="AY105" s="1056"/>
      <c r="AZ105" s="1056"/>
      <c r="BA105" s="1056"/>
      <c r="BB105" s="1056"/>
      <c r="BC105" s="1056"/>
    </row>
    <row r="106" spans="1:55" ht="46.15" customHeight="1" x14ac:dyDescent="0.3">
      <c r="A106" s="223"/>
      <c r="B106" s="1278">
        <v>45</v>
      </c>
      <c r="C106" s="1825">
        <v>44</v>
      </c>
      <c r="D106" s="1840" t="s">
        <v>582</v>
      </c>
      <c r="E106" s="1819" t="s">
        <v>326</v>
      </c>
      <c r="F106" s="1828" t="s">
        <v>334</v>
      </c>
      <c r="G106" s="1821" t="str">
        <f>IF('Звіт   4,5,6'!E43=0,"Дані не введено",IF(AND(H107=0,I107=0),"ПРАВДА", "ПОМИЛКА"))</f>
        <v>ПРАВДА</v>
      </c>
      <c r="H106" s="1291" t="s">
        <v>583</v>
      </c>
      <c r="I106" s="1291" t="s">
        <v>584</v>
      </c>
      <c r="J106" s="1076"/>
      <c r="K106" s="1083"/>
      <c r="L106" s="1083"/>
      <c r="M106" s="1083"/>
      <c r="N106" s="1083"/>
      <c r="O106" s="1071"/>
      <c r="P106" s="1071"/>
      <c r="Q106" s="1057"/>
      <c r="R106" s="1057"/>
      <c r="S106" s="1057"/>
      <c r="T106" s="1057"/>
      <c r="U106" s="1057"/>
      <c r="V106" s="1057"/>
      <c r="W106" s="1071"/>
      <c r="X106" s="1071"/>
      <c r="Y106" s="1071"/>
      <c r="Z106" s="1071"/>
      <c r="AA106" s="1057"/>
      <c r="AB106" s="1057"/>
      <c r="AC106" s="1057"/>
      <c r="AD106" s="1057"/>
      <c r="AE106" s="1056"/>
      <c r="AF106" s="1056"/>
      <c r="AG106" s="1056"/>
      <c r="AH106" s="1056"/>
      <c r="AI106" s="1056"/>
      <c r="AJ106" s="1056"/>
      <c r="AK106" s="1056"/>
      <c r="AL106" s="1056"/>
      <c r="AM106" s="1056"/>
      <c r="AN106" s="1056"/>
      <c r="AO106" s="1056"/>
      <c r="AP106" s="1056"/>
      <c r="AQ106" s="1056"/>
      <c r="AR106" s="1056"/>
      <c r="AS106" s="1056"/>
      <c r="AT106" s="1056"/>
      <c r="AU106" s="1056"/>
      <c r="AV106" s="1056"/>
      <c r="AW106" s="1056"/>
      <c r="AX106" s="1056"/>
      <c r="AY106" s="1056"/>
      <c r="AZ106" s="1056"/>
      <c r="BA106" s="1056"/>
      <c r="BB106" s="1056"/>
      <c r="BC106" s="1056"/>
    </row>
    <row r="107" spans="1:55" ht="30.75" customHeight="1" x14ac:dyDescent="0.3">
      <c r="A107" s="223"/>
      <c r="B107" s="1278"/>
      <c r="C107" s="1826"/>
      <c r="D107" s="1840"/>
      <c r="E107" s="1819"/>
      <c r="F107" s="1828"/>
      <c r="G107" s="1821"/>
      <c r="H107" s="1310">
        <f>'Звіт   9'!H72</f>
        <v>0</v>
      </c>
      <c r="I107" s="1310">
        <f>'Звіт   9'!K72</f>
        <v>0</v>
      </c>
      <c r="J107" s="1076"/>
      <c r="K107" s="1083"/>
      <c r="L107" s="1083"/>
      <c r="M107" s="1083"/>
      <c r="N107" s="1083"/>
      <c r="O107" s="1071"/>
      <c r="P107" s="1071"/>
      <c r="Q107" s="1057"/>
      <c r="R107" s="1057"/>
      <c r="S107" s="1057"/>
      <c r="T107" s="1057"/>
      <c r="U107" s="1057"/>
      <c r="V107" s="1057"/>
      <c r="W107" s="1071"/>
      <c r="X107" s="1071"/>
      <c r="Y107" s="1071"/>
      <c r="Z107" s="1071"/>
      <c r="AA107" s="1057"/>
      <c r="AB107" s="1057"/>
      <c r="AC107" s="1057"/>
      <c r="AD107" s="1057"/>
      <c r="AE107" s="1056"/>
      <c r="AF107" s="1056"/>
      <c r="AG107" s="1056"/>
      <c r="AH107" s="1056"/>
      <c r="AI107" s="1056"/>
      <c r="AJ107" s="1056"/>
      <c r="AK107" s="1056"/>
      <c r="AL107" s="1056"/>
      <c r="AM107" s="1056"/>
      <c r="AN107" s="1056"/>
      <c r="AO107" s="1056"/>
      <c r="AP107" s="1056"/>
      <c r="AQ107" s="1056"/>
      <c r="AR107" s="1056"/>
      <c r="AS107" s="1056"/>
      <c r="AT107" s="1056"/>
      <c r="AU107" s="1056"/>
      <c r="AV107" s="1056"/>
      <c r="AW107" s="1056"/>
      <c r="AX107" s="1056"/>
      <c r="AY107" s="1056"/>
      <c r="AZ107" s="1056"/>
      <c r="BA107" s="1056"/>
      <c r="BB107" s="1056"/>
      <c r="BC107" s="1056"/>
    </row>
    <row r="108" spans="1:55" ht="46.15" customHeight="1" x14ac:dyDescent="0.3">
      <c r="A108" s="223"/>
      <c r="B108" s="1278">
        <v>46</v>
      </c>
      <c r="C108" s="1825">
        <v>45</v>
      </c>
      <c r="D108" s="1840" t="s">
        <v>585</v>
      </c>
      <c r="E108" s="1819" t="s">
        <v>326</v>
      </c>
      <c r="F108" s="1820" t="s">
        <v>332</v>
      </c>
      <c r="G108" s="1821" t="str">
        <f>IF('Звіт   4,5,6'!E43=0,"Дані не введено",IF((H109+I109)&gt;=77,"ПРАВДА","ПОМИЛКА"))</f>
        <v>ПРАВДА</v>
      </c>
      <c r="H108" s="1291" t="s">
        <v>586</v>
      </c>
      <c r="I108" s="1291" t="s">
        <v>587</v>
      </c>
      <c r="J108" s="1076"/>
      <c r="K108" s="1083"/>
      <c r="L108" s="1083"/>
      <c r="M108" s="1083"/>
      <c r="N108" s="1083"/>
      <c r="O108" s="1071"/>
      <c r="P108" s="1071"/>
      <c r="Q108" s="1057"/>
      <c r="R108" s="1057"/>
      <c r="S108" s="1057"/>
      <c r="T108" s="1057"/>
      <c r="U108" s="1057"/>
      <c r="V108" s="1057"/>
      <c r="W108" s="1071"/>
      <c r="X108" s="1071"/>
      <c r="Y108" s="1071"/>
      <c r="Z108" s="1071"/>
      <c r="AA108" s="1057"/>
      <c r="AB108" s="1057"/>
      <c r="AC108" s="1057"/>
      <c r="AD108" s="1057"/>
      <c r="AE108" s="1056"/>
      <c r="AF108" s="1056"/>
      <c r="AG108" s="1056"/>
      <c r="AH108" s="1056"/>
      <c r="AI108" s="1056"/>
      <c r="AJ108" s="1056"/>
      <c r="AK108" s="1056"/>
      <c r="AL108" s="1056"/>
      <c r="AM108" s="1056"/>
      <c r="AN108" s="1056"/>
      <c r="AO108" s="1056"/>
      <c r="AP108" s="1056"/>
      <c r="AQ108" s="1056"/>
      <c r="AR108" s="1056"/>
      <c r="AS108" s="1056"/>
      <c r="AT108" s="1056"/>
      <c r="AU108" s="1056"/>
      <c r="AV108" s="1056"/>
      <c r="AW108" s="1056"/>
      <c r="AX108" s="1056"/>
      <c r="AY108" s="1056"/>
      <c r="AZ108" s="1056"/>
      <c r="BA108" s="1056"/>
      <c r="BB108" s="1056"/>
      <c r="BC108" s="1056"/>
    </row>
    <row r="109" spans="1:55" ht="27.75" customHeight="1" x14ac:dyDescent="0.3">
      <c r="A109" s="223"/>
      <c r="B109" s="1278"/>
      <c r="C109" s="1826"/>
      <c r="D109" s="1840"/>
      <c r="E109" s="1819"/>
      <c r="F109" s="1820"/>
      <c r="G109" s="1821"/>
      <c r="H109" s="1363">
        <f>COUNTIF('Звіт   9'!J13:J54,"0")+COUNTIF('Звіт   9'!J13:J54,"")</f>
        <v>42</v>
      </c>
      <c r="I109" s="1363">
        <f>COUNTIF('Звіт   9'!J58:J103,"0")+COUNTIF('Звіт   9'!J58:J103,"")</f>
        <v>45</v>
      </c>
      <c r="J109" s="1071"/>
      <c r="K109" s="1071"/>
      <c r="L109" s="1083"/>
      <c r="M109" s="1083"/>
      <c r="N109" s="1083"/>
      <c r="O109" s="1071"/>
      <c r="P109" s="1071"/>
      <c r="Q109" s="1057"/>
      <c r="R109" s="1057"/>
      <c r="S109" s="1057"/>
      <c r="T109" s="1057"/>
      <c r="U109" s="1057"/>
      <c r="V109" s="1057"/>
      <c r="W109" s="1071"/>
      <c r="X109" s="1071"/>
      <c r="Y109" s="1071"/>
      <c r="Z109" s="1071"/>
      <c r="AA109" s="1057"/>
      <c r="AB109" s="1057"/>
      <c r="AC109" s="1057"/>
      <c r="AD109" s="1057"/>
      <c r="AE109" s="1056"/>
      <c r="AF109" s="1056"/>
      <c r="AG109" s="1056"/>
      <c r="AH109" s="1056"/>
      <c r="AI109" s="1056"/>
      <c r="AJ109" s="1056"/>
      <c r="AK109" s="1056"/>
      <c r="AL109" s="1056"/>
      <c r="AM109" s="1056"/>
      <c r="AN109" s="1056"/>
      <c r="AO109" s="1056"/>
      <c r="AP109" s="1056"/>
      <c r="AQ109" s="1056"/>
      <c r="AR109" s="1056"/>
      <c r="AS109" s="1056"/>
      <c r="AT109" s="1056"/>
      <c r="AU109" s="1056"/>
      <c r="AV109" s="1056"/>
      <c r="AW109" s="1056"/>
      <c r="AX109" s="1056"/>
      <c r="AY109" s="1056"/>
      <c r="AZ109" s="1056"/>
      <c r="BA109" s="1056"/>
      <c r="BB109" s="1056"/>
      <c r="BC109" s="1056"/>
    </row>
    <row r="110" spans="1:55" ht="48.75" customHeight="1" x14ac:dyDescent="0.3">
      <c r="A110" s="223"/>
      <c r="B110" s="1278">
        <v>47</v>
      </c>
      <c r="C110" s="1819">
        <v>46</v>
      </c>
      <c r="D110" s="1840" t="s">
        <v>588</v>
      </c>
      <c r="E110" s="1819" t="s">
        <v>326</v>
      </c>
      <c r="F110" s="1820" t="s">
        <v>332</v>
      </c>
      <c r="G110" s="1821" t="str">
        <f>IF('Звіт   4,5,6'!E43=0,"Дані не введено",IF(OR(H111="ПОМИЛКА",I111="ПОМИЛКА"),"ПОМИЛКА","ПРАВДА"))</f>
        <v>ПРАВДА</v>
      </c>
      <c r="H110" s="1220" t="s">
        <v>356</v>
      </c>
      <c r="I110" s="1220" t="s">
        <v>358</v>
      </c>
      <c r="J110" s="1083"/>
      <c r="K110" s="1083"/>
      <c r="L110" s="1083"/>
      <c r="M110" s="1083"/>
      <c r="N110" s="1083"/>
      <c r="O110" s="1071"/>
      <c r="P110" s="1071"/>
      <c r="Q110" s="1057"/>
      <c r="R110" s="1057"/>
      <c r="S110" s="1057"/>
      <c r="T110" s="1057"/>
      <c r="U110" s="1057"/>
      <c r="V110" s="1057"/>
      <c r="W110" s="1071"/>
      <c r="X110" s="1071"/>
      <c r="Y110" s="1071"/>
      <c r="Z110" s="1071"/>
      <c r="AA110" s="1057"/>
      <c r="AB110" s="1057"/>
      <c r="AC110" s="1057"/>
      <c r="AD110" s="1057"/>
      <c r="AE110" s="1056"/>
      <c r="AF110" s="1056"/>
      <c r="AG110" s="1056"/>
      <c r="AH110" s="1056"/>
      <c r="AI110" s="1056"/>
      <c r="AJ110" s="1056"/>
      <c r="AK110" s="1056"/>
      <c r="AL110" s="1056"/>
      <c r="AM110" s="1056"/>
      <c r="AN110" s="1056"/>
      <c r="AO110" s="1056"/>
      <c r="AP110" s="1056"/>
      <c r="AQ110" s="1056"/>
      <c r="AR110" s="1056"/>
      <c r="AS110" s="1056"/>
      <c r="AT110" s="1056"/>
      <c r="AU110" s="1056"/>
      <c r="AV110" s="1056"/>
      <c r="AW110" s="1056"/>
      <c r="AX110" s="1056"/>
      <c r="AY110" s="1056"/>
      <c r="AZ110" s="1056"/>
      <c r="BA110" s="1056"/>
      <c r="BB110" s="1056"/>
      <c r="BC110" s="1056"/>
    </row>
    <row r="111" spans="1:55" ht="46.15" customHeight="1" x14ac:dyDescent="0.25">
      <c r="A111" s="223"/>
      <c r="B111" s="1278"/>
      <c r="C111" s="1819"/>
      <c r="D111" s="1840"/>
      <c r="E111" s="1819"/>
      <c r="F111" s="1820"/>
      <c r="G111" s="1821"/>
      <c r="H111" s="1214" t="str">
        <f>IF('Звіт   4,5,6'!E43=0,"Дані не введено",IF(OR(J111&gt;=1,K111&gt;=1,L111&gt;=1,M111&gt;=1,N111&gt;=1,O111&gt;=1,P111&gt;=1,Q111&gt;=1,R111&gt;=1),"ПОМИЛКА","ПРАВДА"))</f>
        <v>ПРАВДА</v>
      </c>
      <c r="I111" s="1214" t="str">
        <f>IF('Звіт   4,5,6'!E43=0,"Дані не введено",IF(OR(S111&gt;=1,T111&gt;=1,U111&gt;=1,V111&gt;=1,W111&gt;=1,X111&gt;=1,Y111&gt;=1,Z111&gt;=1,AA111&gt;=1),"ПОМИЛКА","ПРАВДА"))</f>
        <v>ПРАВДА</v>
      </c>
      <c r="J111" s="1134">
        <f>COUNTIF('Звіт   9'!H14,"&lt;0")</f>
        <v>0</v>
      </c>
      <c r="K111" s="1134">
        <f>COUNTIF('Звіт   9'!H16,"&lt;0")</f>
        <v>0</v>
      </c>
      <c r="L111" s="1134">
        <f>COUNTIF('Звіт   9'!H18,"&lt;0")</f>
        <v>0</v>
      </c>
      <c r="M111" s="1134">
        <f>COUNTIF('Звіт   9'!H20:H27,"&lt;0")</f>
        <v>0</v>
      </c>
      <c r="N111" s="1134">
        <f>COUNTIF('Звіт   9'!H30:H51,"&lt;0")</f>
        <v>0</v>
      </c>
      <c r="O111" s="1134">
        <f>COUNTIF('Звіт   9'!H58:H63,"&lt;0")</f>
        <v>0</v>
      </c>
      <c r="P111" s="267">
        <f>COUNTIF('Звіт   9'!H69:H101,"&lt;0")</f>
        <v>0</v>
      </c>
      <c r="Q111" s="267"/>
      <c r="R111" s="267">
        <f>COUNTIF('Звіт   9'!H66,"&lt;0")</f>
        <v>0</v>
      </c>
      <c r="S111" s="1134">
        <f>COUNTIF('Звіт   9'!K14,"&lt;0")</f>
        <v>0</v>
      </c>
      <c r="T111" s="1134">
        <f>COUNTIF('Звіт   9'!K16,"&lt;0")</f>
        <v>0</v>
      </c>
      <c r="U111" s="1134">
        <f>COUNTIF('Звіт   9'!K18,"&lt;0")</f>
        <v>0</v>
      </c>
      <c r="V111" s="1134">
        <f>COUNTIF('Звіт   9'!K20:K27,"&lt;0")</f>
        <v>0</v>
      </c>
      <c r="W111" s="1134">
        <f>COUNTIF('Звіт   9'!K30:K51,"&lt;0")</f>
        <v>0</v>
      </c>
      <c r="X111" s="1134">
        <f>COUNTIF('Звіт   9'!K58:K63,"&lt;0")</f>
        <v>0</v>
      </c>
      <c r="Y111" s="267">
        <f>COUNTIF('Звіт   9'!K69:K101,"&lt;0")</f>
        <v>0</v>
      </c>
      <c r="Z111" s="267"/>
      <c r="AA111" s="267">
        <f>COUNTIF('Звіт   9'!K66,"&lt;0")</f>
        <v>0</v>
      </c>
      <c r="AB111" s="1057"/>
      <c r="AC111" s="1057"/>
      <c r="AD111" s="1057"/>
      <c r="AE111" s="1056"/>
      <c r="AF111" s="1056"/>
      <c r="AG111" s="1056"/>
      <c r="AH111" s="1056"/>
      <c r="AI111" s="1056"/>
      <c r="AJ111" s="1056"/>
      <c r="AK111" s="1056"/>
      <c r="AL111" s="1056"/>
      <c r="AM111" s="1056"/>
      <c r="AN111" s="1056"/>
      <c r="AO111" s="1056"/>
      <c r="AP111" s="1056"/>
      <c r="AQ111" s="1056"/>
      <c r="AR111" s="1056"/>
      <c r="AS111" s="1056"/>
      <c r="AT111" s="1056"/>
      <c r="AU111" s="1056"/>
      <c r="AV111" s="1056"/>
      <c r="AW111" s="1056"/>
      <c r="AX111" s="1056"/>
      <c r="AY111" s="1056"/>
      <c r="AZ111" s="1056"/>
      <c r="BA111" s="1056"/>
      <c r="BB111" s="1056"/>
      <c r="BC111" s="1056"/>
    </row>
    <row r="112" spans="1:55" ht="46.15" customHeight="1" x14ac:dyDescent="0.25">
      <c r="A112" s="223"/>
      <c r="B112" s="1278">
        <v>48</v>
      </c>
      <c r="C112" s="1819">
        <v>47</v>
      </c>
      <c r="D112" s="1840" t="s">
        <v>1793</v>
      </c>
      <c r="E112" s="1819" t="s">
        <v>326</v>
      </c>
      <c r="F112" s="1820" t="s">
        <v>332</v>
      </c>
      <c r="G112" s="1821" t="str">
        <f>IF('Звіт   4,5,6'!E43=0,"Дані не введено",IF(AND(H113=0,I113=0),"ПРАВДА","ПОМИЛКА"))</f>
        <v>ПРАВДА</v>
      </c>
      <c r="H112" s="1291" t="s">
        <v>647</v>
      </c>
      <c r="I112" s="1291" t="s">
        <v>648</v>
      </c>
      <c r="J112" s="1134"/>
      <c r="K112" s="1134"/>
      <c r="L112" s="1134"/>
      <c r="M112" s="1134"/>
      <c r="N112" s="1134"/>
      <c r="O112" s="1134"/>
      <c r="P112" s="267"/>
      <c r="Q112" s="267"/>
      <c r="R112" s="267"/>
      <c r="S112" s="1134"/>
      <c r="T112" s="1134"/>
      <c r="U112" s="1134"/>
      <c r="V112" s="1134"/>
      <c r="W112" s="1134"/>
      <c r="X112" s="1134"/>
      <c r="Y112" s="267"/>
      <c r="Z112" s="267"/>
      <c r="AA112" s="267"/>
      <c r="AB112" s="1057"/>
      <c r="AC112" s="1057"/>
      <c r="AD112" s="1057"/>
      <c r="AE112" s="1056"/>
      <c r="AF112" s="1056"/>
      <c r="AG112" s="1056"/>
      <c r="AH112" s="1056"/>
      <c r="AI112" s="1056"/>
      <c r="AJ112" s="1056"/>
      <c r="AK112" s="1056"/>
      <c r="AL112" s="1056"/>
      <c r="AM112" s="1056"/>
      <c r="AN112" s="1056"/>
      <c r="AO112" s="1056"/>
      <c r="AP112" s="1056"/>
      <c r="AQ112" s="1056"/>
      <c r="AR112" s="1056"/>
      <c r="AS112" s="1056"/>
      <c r="AT112" s="1056"/>
      <c r="AU112" s="1056"/>
      <c r="AV112" s="1056"/>
      <c r="AW112" s="1056"/>
      <c r="AX112" s="1056"/>
      <c r="AY112" s="1056"/>
      <c r="AZ112" s="1056"/>
      <c r="BA112" s="1056"/>
      <c r="BB112" s="1056"/>
      <c r="BC112" s="1056"/>
    </row>
    <row r="113" spans="1:55" ht="61.5" customHeight="1" x14ac:dyDescent="0.25">
      <c r="A113" s="223"/>
      <c r="B113" s="1278"/>
      <c r="C113" s="1819"/>
      <c r="D113" s="1840"/>
      <c r="E113" s="1819"/>
      <c r="F113" s="1820"/>
      <c r="G113" s="1821"/>
      <c r="H113" s="1310">
        <f>'Звіт   9'!H24</f>
        <v>0</v>
      </c>
      <c r="I113" s="1310">
        <f>'Звіт   9'!K24</f>
        <v>0</v>
      </c>
      <c r="J113" s="1134"/>
      <c r="K113" s="1134"/>
      <c r="L113" s="1134"/>
      <c r="M113" s="1134"/>
      <c r="N113" s="1134"/>
      <c r="O113" s="1134"/>
      <c r="P113" s="267"/>
      <c r="Q113" s="267"/>
      <c r="R113" s="267"/>
      <c r="S113" s="1134"/>
      <c r="T113" s="1134"/>
      <c r="U113" s="1134"/>
      <c r="V113" s="1134"/>
      <c r="W113" s="1134"/>
      <c r="X113" s="1134"/>
      <c r="Y113" s="267"/>
      <c r="Z113" s="267"/>
      <c r="AA113" s="267"/>
      <c r="AB113" s="1057"/>
      <c r="AC113" s="1057"/>
      <c r="AD113" s="1057"/>
      <c r="AE113" s="1056"/>
      <c r="AF113" s="1056"/>
      <c r="AG113" s="1056"/>
      <c r="AH113" s="1056"/>
      <c r="AI113" s="1056"/>
      <c r="AJ113" s="1056"/>
      <c r="AK113" s="1056"/>
      <c r="AL113" s="1056"/>
      <c r="AM113" s="1056"/>
      <c r="AN113" s="1056"/>
      <c r="AO113" s="1056"/>
      <c r="AP113" s="1056"/>
      <c r="AQ113" s="1056"/>
      <c r="AR113" s="1056"/>
      <c r="AS113" s="1056"/>
      <c r="AT113" s="1056"/>
      <c r="AU113" s="1056"/>
      <c r="AV113" s="1056"/>
      <c r="AW113" s="1056"/>
      <c r="AX113" s="1056"/>
      <c r="AY113" s="1056"/>
      <c r="AZ113" s="1056"/>
      <c r="BA113" s="1056"/>
      <c r="BB113" s="1056"/>
      <c r="BC113" s="1056"/>
    </row>
    <row r="114" spans="1:55" s="111" customFormat="1" ht="24" customHeight="1" x14ac:dyDescent="0.3">
      <c r="A114" s="224"/>
      <c r="B114" s="224"/>
      <c r="C114" s="1079"/>
      <c r="D114" s="1079"/>
      <c r="E114" s="1096"/>
      <c r="F114" s="1076"/>
      <c r="G114" s="1097"/>
      <c r="H114" s="238"/>
      <c r="I114" s="1079"/>
      <c r="J114" s="1079"/>
      <c r="K114" s="1079"/>
      <c r="L114" s="1079"/>
      <c r="M114" s="1079"/>
      <c r="N114" s="1079"/>
      <c r="O114" s="1079"/>
      <c r="P114" s="1079"/>
      <c r="Q114" s="1080"/>
      <c r="R114" s="1080"/>
      <c r="S114" s="1080"/>
      <c r="T114" s="1080"/>
      <c r="U114" s="1080"/>
      <c r="V114" s="1080"/>
      <c r="W114" s="1080"/>
      <c r="X114" s="1080"/>
      <c r="Y114" s="1080"/>
      <c r="Z114" s="1080"/>
      <c r="AA114" s="1080"/>
      <c r="AB114" s="1080"/>
      <c r="AC114" s="1080"/>
      <c r="AD114" s="1080"/>
      <c r="AE114" s="1104"/>
      <c r="AF114" s="1104"/>
      <c r="AG114" s="1104"/>
      <c r="AH114" s="1104"/>
      <c r="AI114" s="1104"/>
      <c r="AJ114" s="1104"/>
      <c r="AK114" s="1104"/>
      <c r="AL114" s="1104"/>
      <c r="AM114" s="1104"/>
      <c r="AN114" s="1104"/>
      <c r="AO114" s="1104"/>
      <c r="AP114" s="1104"/>
      <c r="AQ114" s="1104"/>
      <c r="AR114" s="1104"/>
      <c r="AS114" s="1104"/>
      <c r="AT114" s="1104"/>
      <c r="AU114" s="1104"/>
      <c r="AV114" s="1104"/>
      <c r="AW114" s="1104"/>
      <c r="AX114" s="1104"/>
      <c r="AY114" s="1104"/>
      <c r="AZ114" s="1104"/>
      <c r="BA114" s="1104"/>
      <c r="BB114" s="1104"/>
      <c r="BC114" s="1104"/>
    </row>
    <row r="115" spans="1:55" ht="24" customHeight="1" thickBot="1" x14ac:dyDescent="0.3">
      <c r="A115" s="223"/>
      <c r="B115" s="223"/>
      <c r="C115" s="1866" t="s">
        <v>1781</v>
      </c>
      <c r="D115" s="1866"/>
      <c r="E115" s="1086"/>
      <c r="F115" s="1103"/>
      <c r="G115" s="1051"/>
      <c r="H115" s="1158"/>
      <c r="I115" s="1131"/>
      <c r="J115" s="1131"/>
      <c r="K115" s="1131"/>
      <c r="L115" s="1159"/>
      <c r="M115" s="1159"/>
      <c r="N115" s="1159"/>
      <c r="O115" s="1159"/>
      <c r="P115" s="1159"/>
      <c r="Q115" s="1091"/>
      <c r="R115" s="1091"/>
      <c r="S115" s="1091"/>
      <c r="T115" s="1091"/>
      <c r="U115" s="1091"/>
      <c r="V115" s="1091"/>
      <c r="W115" s="1091"/>
      <c r="X115" s="1091"/>
      <c r="Y115" s="1091"/>
      <c r="Z115" s="1091"/>
      <c r="AA115" s="1057"/>
      <c r="AB115" s="1057"/>
      <c r="AC115" s="1057"/>
      <c r="AD115" s="1057"/>
      <c r="AE115" s="1056"/>
      <c r="AF115" s="1056"/>
      <c r="AG115" s="1056"/>
      <c r="AH115" s="1056"/>
      <c r="AI115" s="1056"/>
      <c r="AJ115" s="1056"/>
      <c r="AK115" s="1056"/>
      <c r="AL115" s="1056"/>
      <c r="AM115" s="1056"/>
      <c r="AN115" s="1056"/>
      <c r="AO115" s="1056"/>
      <c r="AP115" s="1056"/>
      <c r="AQ115" s="1056"/>
      <c r="AR115" s="1056"/>
      <c r="AS115" s="1056"/>
      <c r="AT115" s="1056"/>
      <c r="AU115" s="1056"/>
      <c r="AV115" s="1056"/>
      <c r="AW115" s="1056"/>
      <c r="AX115" s="1056"/>
      <c r="AY115" s="1056"/>
      <c r="AZ115" s="1056"/>
      <c r="BA115" s="1056"/>
      <c r="BB115" s="1056"/>
      <c r="BC115" s="1056"/>
    </row>
    <row r="116" spans="1:55" ht="56.25" x14ac:dyDescent="0.25">
      <c r="A116" s="223"/>
      <c r="B116" s="1883" t="s">
        <v>1865</v>
      </c>
      <c r="C116" s="1864">
        <v>48</v>
      </c>
      <c r="D116" s="1865" t="s">
        <v>1791</v>
      </c>
      <c r="E116" s="1864" t="s">
        <v>326</v>
      </c>
      <c r="F116" s="1864" t="s">
        <v>332</v>
      </c>
      <c r="G116" s="1863" t="str">
        <f>IF('Звіт   4,5,6'!E43=0,"Дані не введено",IF(J117&gt;=0,"ПРАВДА","ПОМИЛКА"))</f>
        <v>ПРАВДА</v>
      </c>
      <c r="H116" s="1229" t="s">
        <v>499</v>
      </c>
      <c r="I116" s="1230" t="s">
        <v>1783</v>
      </c>
      <c r="J116" s="1112" t="s">
        <v>456</v>
      </c>
      <c r="K116" s="1056"/>
      <c r="L116" s="1226"/>
      <c r="M116" s="1226"/>
      <c r="N116" s="1160"/>
      <c r="O116" s="1160"/>
      <c r="P116" s="1160"/>
      <c r="Q116" s="1080"/>
      <c r="R116" s="1080"/>
      <c r="S116" s="1080"/>
      <c r="T116" s="1080"/>
      <c r="U116" s="1057"/>
      <c r="V116" s="1057"/>
      <c r="W116" s="1057"/>
      <c r="X116" s="1057"/>
      <c r="Y116" s="1057"/>
      <c r="Z116" s="1057"/>
      <c r="AA116" s="1057"/>
      <c r="AB116" s="1057"/>
      <c r="AC116" s="1057"/>
      <c r="AD116" s="1057"/>
      <c r="AE116" s="1056"/>
      <c r="AF116" s="1056"/>
      <c r="AG116" s="1056"/>
      <c r="AH116" s="1056"/>
      <c r="AI116" s="1056"/>
      <c r="AJ116" s="1056"/>
      <c r="AK116" s="1056"/>
      <c r="AL116" s="1056"/>
      <c r="AM116" s="1056"/>
      <c r="AN116" s="1056"/>
      <c r="AO116" s="1056"/>
      <c r="AP116" s="1056"/>
      <c r="AQ116" s="1056"/>
      <c r="AR116" s="1056"/>
      <c r="AS116" s="1056"/>
      <c r="AT116" s="1056"/>
      <c r="AU116" s="1056"/>
      <c r="AV116" s="1056"/>
      <c r="AW116" s="1056"/>
      <c r="AX116" s="1056"/>
      <c r="AY116" s="1056"/>
      <c r="AZ116" s="1056"/>
      <c r="BA116" s="1056"/>
      <c r="BB116" s="1056"/>
      <c r="BC116" s="1056"/>
    </row>
    <row r="117" spans="1:55" ht="24" customHeight="1" thickBot="1" x14ac:dyDescent="0.3">
      <c r="A117" s="223"/>
      <c r="B117" s="1884"/>
      <c r="C117" s="1864"/>
      <c r="D117" s="1865"/>
      <c r="E117" s="1864"/>
      <c r="F117" s="1864"/>
      <c r="G117" s="1863"/>
      <c r="H117" s="1231">
        <f>ROUND(('Звіт   4,5,6'!E43+'Звіт   4,5,6'!I43)/1000,0)</f>
        <v>33352</v>
      </c>
      <c r="I117" s="1231">
        <f>ROUND('Звіт  7,8'!F13/1000,0)</f>
        <v>33163</v>
      </c>
      <c r="J117" s="1272">
        <f>H117-I117</f>
        <v>189</v>
      </c>
      <c r="K117" s="1056"/>
      <c r="L117" s="1227"/>
      <c r="M117" s="1227"/>
      <c r="N117" s="1107"/>
      <c r="O117" s="1107"/>
      <c r="P117" s="1107"/>
      <c r="Q117" s="1080"/>
      <c r="R117" s="1080"/>
      <c r="S117" s="1080"/>
      <c r="T117" s="1080"/>
      <c r="U117" s="1057"/>
      <c r="V117" s="1057"/>
      <c r="W117" s="1057"/>
      <c r="X117" s="1057"/>
      <c r="Y117" s="1057"/>
      <c r="Z117" s="1057"/>
      <c r="AA117" s="1057"/>
      <c r="AB117" s="1057"/>
      <c r="AC117" s="1057"/>
      <c r="AD117" s="1057"/>
      <c r="AE117" s="1056"/>
      <c r="AF117" s="1056"/>
      <c r="AG117" s="1056"/>
      <c r="AH117" s="1056"/>
      <c r="AI117" s="1056"/>
      <c r="AJ117" s="1056"/>
      <c r="AK117" s="1056"/>
      <c r="AL117" s="1056"/>
      <c r="AM117" s="1056"/>
      <c r="AN117" s="1056"/>
      <c r="AO117" s="1056"/>
      <c r="AP117" s="1056"/>
      <c r="AQ117" s="1056"/>
      <c r="AR117" s="1056"/>
      <c r="AS117" s="1056"/>
      <c r="AT117" s="1056"/>
      <c r="AU117" s="1056"/>
      <c r="AV117" s="1056"/>
      <c r="AW117" s="1056"/>
      <c r="AX117" s="1056"/>
      <c r="AY117" s="1056"/>
      <c r="AZ117" s="1056"/>
      <c r="BA117" s="1056"/>
      <c r="BB117" s="1056"/>
      <c r="BC117" s="1056"/>
    </row>
    <row r="118" spans="1:55" ht="29.25" customHeight="1" x14ac:dyDescent="0.25">
      <c r="A118" s="223"/>
      <c r="B118" s="1886" t="s">
        <v>1866</v>
      </c>
      <c r="C118" s="1874">
        <v>49</v>
      </c>
      <c r="D118" s="1875" t="s">
        <v>1779</v>
      </c>
      <c r="E118" s="1874" t="s">
        <v>326</v>
      </c>
      <c r="F118" s="1874" t="s">
        <v>332</v>
      </c>
      <c r="G118" s="1872" t="str">
        <f>IF('Звіт   4,5,6'!E43=0,"Дані не введено",IF(OR(AND(H119&gt;0,I119&gt;0),AND(H119=0,I119=0)),"ПРАВДА","ПОМИЛКА"))</f>
        <v>ПРАВДА</v>
      </c>
      <c r="H118" s="1232" t="s">
        <v>344</v>
      </c>
      <c r="I118" s="1233" t="s">
        <v>1787</v>
      </c>
      <c r="J118" s="1057"/>
      <c r="K118" s="1057"/>
      <c r="L118" s="1080"/>
      <c r="M118" s="1107"/>
      <c r="N118" s="1107"/>
      <c r="O118" s="1107"/>
      <c r="P118" s="1107"/>
      <c r="Q118" s="1057"/>
      <c r="R118" s="1057"/>
      <c r="S118" s="1057"/>
      <c r="T118" s="1057"/>
      <c r="U118" s="1057"/>
      <c r="V118" s="1057"/>
      <c r="W118" s="1057"/>
      <c r="X118" s="1057"/>
      <c r="Y118" s="1057"/>
      <c r="Z118" s="1057"/>
      <c r="AA118" s="1057"/>
      <c r="AB118" s="1057"/>
      <c r="AC118" s="1057"/>
      <c r="AD118" s="1057"/>
      <c r="AE118" s="1056"/>
      <c r="AF118" s="1056"/>
      <c r="AG118" s="1056"/>
      <c r="AH118" s="1056"/>
      <c r="AI118" s="1056"/>
      <c r="AJ118" s="1056"/>
      <c r="AK118" s="1056"/>
      <c r="AL118" s="1056"/>
      <c r="AM118" s="1056"/>
      <c r="AN118" s="1056"/>
      <c r="AO118" s="1056"/>
      <c r="AP118" s="1056"/>
      <c r="AQ118" s="1056"/>
      <c r="AR118" s="1056"/>
      <c r="AS118" s="1056"/>
      <c r="AT118" s="1056"/>
      <c r="AU118" s="1056"/>
      <c r="AV118" s="1056"/>
      <c r="AW118" s="1056"/>
      <c r="AX118" s="1056"/>
      <c r="AY118" s="1056"/>
      <c r="AZ118" s="1056"/>
      <c r="BA118" s="1056"/>
      <c r="BB118" s="1056"/>
      <c r="BC118" s="1056"/>
    </row>
    <row r="119" spans="1:55" ht="30" customHeight="1" thickBot="1" x14ac:dyDescent="0.3">
      <c r="A119" s="223"/>
      <c r="B119" s="1887"/>
      <c r="C119" s="1864"/>
      <c r="D119" s="1865"/>
      <c r="E119" s="1864"/>
      <c r="F119" s="1864"/>
      <c r="G119" s="1863"/>
      <c r="H119" s="1231">
        <f>'Звіт  7,8'!F14/1000</f>
        <v>273.7</v>
      </c>
      <c r="I119" s="1234">
        <f>'Звіт  7,8'!F28</f>
        <v>2</v>
      </c>
      <c r="J119" s="1057"/>
      <c r="K119" s="1057"/>
      <c r="L119" s="1057"/>
      <c r="M119" s="1107"/>
      <c r="N119" s="1107"/>
      <c r="O119" s="1107"/>
      <c r="P119" s="1107"/>
      <c r="Q119" s="1057"/>
      <c r="R119" s="1057"/>
      <c r="S119" s="1057"/>
      <c r="T119" s="1057"/>
      <c r="U119" s="1057"/>
      <c r="V119" s="1057"/>
      <c r="W119" s="1057"/>
      <c r="X119" s="1057"/>
      <c r="Y119" s="1057"/>
      <c r="Z119" s="1057"/>
      <c r="AA119" s="1057"/>
      <c r="AB119" s="1057"/>
      <c r="AC119" s="1057"/>
      <c r="AD119" s="1057"/>
      <c r="AE119" s="1056"/>
      <c r="AF119" s="1056"/>
      <c r="AG119" s="1056"/>
      <c r="AH119" s="1056"/>
      <c r="AI119" s="1056"/>
      <c r="AJ119" s="1056"/>
      <c r="AK119" s="1056"/>
      <c r="AL119" s="1056"/>
      <c r="AM119" s="1056"/>
      <c r="AN119" s="1056"/>
      <c r="AO119" s="1056"/>
      <c r="AP119" s="1056"/>
      <c r="AQ119" s="1056"/>
      <c r="AR119" s="1056"/>
      <c r="AS119" s="1056"/>
      <c r="AT119" s="1056"/>
      <c r="AU119" s="1056"/>
      <c r="AV119" s="1056"/>
      <c r="AW119" s="1056"/>
      <c r="AX119" s="1056"/>
      <c r="AY119" s="1056"/>
      <c r="AZ119" s="1056"/>
      <c r="BA119" s="1056"/>
      <c r="BB119" s="1056"/>
      <c r="BC119" s="1056"/>
    </row>
    <row r="120" spans="1:55" ht="48" customHeight="1" x14ac:dyDescent="0.25">
      <c r="A120" s="223"/>
      <c r="B120" s="1886" t="s">
        <v>1867</v>
      </c>
      <c r="C120" s="1864">
        <v>50</v>
      </c>
      <c r="D120" s="1865" t="s">
        <v>1780</v>
      </c>
      <c r="E120" s="1864" t="s">
        <v>326</v>
      </c>
      <c r="F120" s="1864" t="s">
        <v>332</v>
      </c>
      <c r="G120" s="1863" t="str">
        <f>IF('Звіт   4,5,6'!E43=0,"Дані не введено",IF(OR(AND(H121&gt;0,I121&gt;0),AND(H121=0,I121=0)),"ПРАВДА","ПОМИЛКА"))</f>
        <v>ПРАВДА</v>
      </c>
      <c r="H120" s="1229" t="s">
        <v>1778</v>
      </c>
      <c r="I120" s="1234" t="s">
        <v>1786</v>
      </c>
      <c r="J120" s="1225"/>
      <c r="K120" s="1090"/>
      <c r="L120" s="1051"/>
      <c r="M120" s="1107"/>
      <c r="N120" s="1107"/>
      <c r="O120" s="1107"/>
      <c r="P120" s="1107"/>
      <c r="Q120" s="1057"/>
      <c r="R120" s="1057"/>
      <c r="S120" s="1057"/>
      <c r="T120" s="1057"/>
      <c r="U120" s="1057"/>
      <c r="V120" s="1057"/>
      <c r="W120" s="1057"/>
      <c r="X120" s="1057"/>
      <c r="Y120" s="1057"/>
      <c r="Z120" s="1057"/>
      <c r="AA120" s="1057"/>
      <c r="AB120" s="1057"/>
      <c r="AC120" s="1057"/>
      <c r="AD120" s="1057"/>
      <c r="AE120" s="1056"/>
      <c r="AF120" s="1056"/>
      <c r="AG120" s="1056"/>
      <c r="AH120" s="1056"/>
      <c r="AI120" s="1056"/>
      <c r="AJ120" s="1056"/>
      <c r="AK120" s="1056"/>
      <c r="AL120" s="1056"/>
      <c r="AM120" s="1056"/>
      <c r="AN120" s="1056"/>
      <c r="AO120" s="1056"/>
      <c r="AP120" s="1056"/>
      <c r="AQ120" s="1056"/>
      <c r="AR120" s="1056"/>
      <c r="AS120" s="1056"/>
      <c r="AT120" s="1056"/>
      <c r="AU120" s="1056"/>
      <c r="AV120" s="1056"/>
      <c r="AW120" s="1056"/>
      <c r="AX120" s="1056"/>
      <c r="AY120" s="1056"/>
      <c r="AZ120" s="1056"/>
      <c r="BA120" s="1056"/>
      <c r="BB120" s="1056"/>
      <c r="BC120" s="1056"/>
    </row>
    <row r="121" spans="1:55" ht="30" customHeight="1" thickBot="1" x14ac:dyDescent="0.3">
      <c r="A121" s="223"/>
      <c r="B121" s="1887"/>
      <c r="C121" s="1864"/>
      <c r="D121" s="1865"/>
      <c r="E121" s="1864"/>
      <c r="F121" s="1864"/>
      <c r="G121" s="1863"/>
      <c r="H121" s="1231">
        <f>'Звіт  7,8'!F15/1000</f>
        <v>3093</v>
      </c>
      <c r="I121" s="1234">
        <f>'Звіт  7,8'!G28+'Звіт  7,8'!H28</f>
        <v>37</v>
      </c>
      <c r="J121" s="1225"/>
      <c r="K121" s="1090"/>
      <c r="L121" s="1051"/>
      <c r="M121" s="1107"/>
      <c r="N121" s="1107"/>
      <c r="O121" s="1107"/>
      <c r="P121" s="1107"/>
      <c r="Q121" s="1057"/>
      <c r="R121" s="1057"/>
      <c r="S121" s="1057"/>
      <c r="T121" s="1057"/>
      <c r="U121" s="1057"/>
      <c r="V121" s="1057"/>
      <c r="W121" s="1057"/>
      <c r="X121" s="1057"/>
      <c r="Y121" s="1057"/>
      <c r="Z121" s="1057"/>
      <c r="AA121" s="1057"/>
      <c r="AB121" s="1057"/>
      <c r="AC121" s="1057"/>
      <c r="AD121" s="1057"/>
      <c r="AE121" s="1056"/>
      <c r="AF121" s="1056"/>
      <c r="AG121" s="1056"/>
      <c r="AH121" s="1056"/>
      <c r="AI121" s="1056"/>
      <c r="AJ121" s="1056"/>
      <c r="AK121" s="1056"/>
      <c r="AL121" s="1056"/>
      <c r="AM121" s="1056"/>
      <c r="AN121" s="1056"/>
      <c r="AO121" s="1056"/>
      <c r="AP121" s="1056"/>
      <c r="AQ121" s="1056"/>
      <c r="AR121" s="1056"/>
      <c r="AS121" s="1056"/>
      <c r="AT121" s="1056"/>
      <c r="AU121" s="1056"/>
      <c r="AV121" s="1056"/>
      <c r="AW121" s="1056"/>
      <c r="AX121" s="1056"/>
      <c r="AY121" s="1056"/>
      <c r="AZ121" s="1056"/>
      <c r="BA121" s="1056"/>
      <c r="BB121" s="1056"/>
      <c r="BC121" s="1056"/>
    </row>
    <row r="122" spans="1:55" ht="29.25" customHeight="1" x14ac:dyDescent="0.25">
      <c r="A122" s="223"/>
      <c r="B122" s="1886" t="s">
        <v>1868</v>
      </c>
      <c r="C122" s="1864">
        <v>51</v>
      </c>
      <c r="D122" s="1865" t="s">
        <v>346</v>
      </c>
      <c r="E122" s="1864" t="s">
        <v>326</v>
      </c>
      <c r="F122" s="1864" t="s">
        <v>332</v>
      </c>
      <c r="G122" s="1863" t="str">
        <f>IF('Звіт   4,5,6'!E43=0,"Дані не введено",IF(OR(AND(H123&gt;0,I123&gt;0),AND(H123=0,I123=0)),"ПРАВДА","ПОМИЛКА"))</f>
        <v>ПРАВДА</v>
      </c>
      <c r="H122" s="1229" t="s">
        <v>345</v>
      </c>
      <c r="I122" s="1234" t="s">
        <v>347</v>
      </c>
      <c r="J122" s="1131"/>
      <c r="K122" s="1131"/>
      <c r="L122" s="1051"/>
      <c r="M122" s="1107"/>
      <c r="N122" s="1107"/>
      <c r="O122" s="1107"/>
      <c r="P122" s="1107"/>
      <c r="Q122" s="1057"/>
      <c r="R122" s="1057"/>
      <c r="S122" s="1057"/>
      <c r="T122" s="1057"/>
      <c r="U122" s="1057"/>
      <c r="V122" s="1057"/>
      <c r="W122" s="1057"/>
      <c r="X122" s="1057"/>
      <c r="Y122" s="1057"/>
      <c r="Z122" s="1057"/>
      <c r="AA122" s="1057"/>
      <c r="AB122" s="1057"/>
      <c r="AC122" s="1057"/>
      <c r="AD122" s="1057"/>
      <c r="AE122" s="1056"/>
      <c r="AF122" s="1056"/>
      <c r="AG122" s="1056"/>
      <c r="AH122" s="1056"/>
      <c r="AI122" s="1056"/>
      <c r="AJ122" s="1056"/>
      <c r="AK122" s="1056"/>
      <c r="AL122" s="1056"/>
      <c r="AM122" s="1056"/>
      <c r="AN122" s="1056"/>
      <c r="AO122" s="1056"/>
      <c r="AP122" s="1056"/>
      <c r="AQ122" s="1056"/>
      <c r="AR122" s="1056"/>
      <c r="AS122" s="1056"/>
      <c r="AT122" s="1056"/>
      <c r="AU122" s="1056"/>
      <c r="AV122" s="1056"/>
      <c r="AW122" s="1056"/>
      <c r="AX122" s="1056"/>
      <c r="AY122" s="1056"/>
      <c r="AZ122" s="1056"/>
      <c r="BA122" s="1056"/>
      <c r="BB122" s="1056"/>
      <c r="BC122" s="1056"/>
    </row>
    <row r="123" spans="1:55" ht="20.25" customHeight="1" thickBot="1" x14ac:dyDescent="0.3">
      <c r="A123" s="223"/>
      <c r="B123" s="1887"/>
      <c r="C123" s="1864"/>
      <c r="D123" s="1865"/>
      <c r="E123" s="1864"/>
      <c r="F123" s="1864"/>
      <c r="G123" s="1863"/>
      <c r="H123" s="1231">
        <f>'Звіт  7,8'!F16/1000</f>
        <v>5344.1</v>
      </c>
      <c r="I123" s="1234">
        <f>'Звіт  7,8'!I28</f>
        <v>71</v>
      </c>
      <c r="J123" s="1131"/>
      <c r="K123" s="1131"/>
      <c r="L123" s="1051"/>
      <c r="M123" s="1107"/>
      <c r="N123" s="1107"/>
      <c r="O123" s="1107"/>
      <c r="P123" s="1107"/>
      <c r="Q123" s="1057"/>
      <c r="R123" s="1057"/>
      <c r="S123" s="1057"/>
      <c r="T123" s="1057"/>
      <c r="U123" s="1057"/>
      <c r="V123" s="1057"/>
      <c r="W123" s="1057"/>
      <c r="X123" s="1057"/>
      <c r="Y123" s="1057"/>
      <c r="Z123" s="1057"/>
      <c r="AA123" s="1057"/>
      <c r="AB123" s="1057"/>
      <c r="AC123" s="1057"/>
      <c r="AD123" s="1057"/>
      <c r="AE123" s="1056"/>
      <c r="AF123" s="1056"/>
      <c r="AG123" s="1056"/>
      <c r="AH123" s="1056"/>
      <c r="AI123" s="1056"/>
      <c r="AJ123" s="1056"/>
      <c r="AK123" s="1056"/>
      <c r="AL123" s="1056"/>
      <c r="AM123" s="1056"/>
      <c r="AN123" s="1056"/>
      <c r="AO123" s="1056"/>
      <c r="AP123" s="1056"/>
      <c r="AQ123" s="1056"/>
      <c r="AR123" s="1056"/>
      <c r="AS123" s="1056"/>
      <c r="AT123" s="1056"/>
      <c r="AU123" s="1056"/>
      <c r="AV123" s="1056"/>
      <c r="AW123" s="1056"/>
      <c r="AX123" s="1056"/>
      <c r="AY123" s="1056"/>
      <c r="AZ123" s="1056"/>
      <c r="BA123" s="1056"/>
      <c r="BB123" s="1056"/>
      <c r="BC123" s="1056"/>
    </row>
    <row r="124" spans="1:55" ht="37.5" customHeight="1" x14ac:dyDescent="0.25">
      <c r="A124" s="223"/>
      <c r="B124" s="1883" t="s">
        <v>1869</v>
      </c>
      <c r="C124" s="1864">
        <v>52</v>
      </c>
      <c r="D124" s="1865" t="s">
        <v>352</v>
      </c>
      <c r="E124" s="1864" t="s">
        <v>326</v>
      </c>
      <c r="F124" s="1864" t="s">
        <v>332</v>
      </c>
      <c r="G124" s="1863" t="str">
        <f>IF('Звіт   4,5,6'!E43=0,"Дані не введено",IF(OR(AND(H125&gt;0,I125&gt;0),AND(H125=0,I125=0)),"ПРАВДА","ПОМИЛКА"))</f>
        <v>ПРАВДА</v>
      </c>
      <c r="H124" s="1229" t="s">
        <v>348</v>
      </c>
      <c r="I124" s="1234" t="s">
        <v>349</v>
      </c>
      <c r="J124" s="1131"/>
      <c r="K124" s="1131"/>
      <c r="L124" s="1051"/>
      <c r="M124" s="1107"/>
      <c r="N124" s="1107"/>
      <c r="O124" s="1107"/>
      <c r="P124" s="1107"/>
      <c r="Q124" s="1057"/>
      <c r="R124" s="1057"/>
      <c r="S124" s="1057"/>
      <c r="T124" s="1057"/>
      <c r="U124" s="1057"/>
      <c r="V124" s="1057"/>
      <c r="W124" s="1057"/>
      <c r="X124" s="1057"/>
      <c r="Y124" s="1057"/>
      <c r="Z124" s="1057"/>
      <c r="AA124" s="1057"/>
      <c r="AB124" s="1057"/>
      <c r="AC124" s="1057"/>
      <c r="AD124" s="1057"/>
      <c r="AE124" s="1056"/>
      <c r="AF124" s="1056"/>
      <c r="AG124" s="1056"/>
      <c r="AH124" s="1056"/>
      <c r="AI124" s="1056"/>
      <c r="AJ124" s="1056"/>
      <c r="AK124" s="1056"/>
      <c r="AL124" s="1056"/>
      <c r="AM124" s="1056"/>
      <c r="AN124" s="1056"/>
      <c r="AO124" s="1056"/>
      <c r="AP124" s="1056"/>
      <c r="AQ124" s="1056"/>
      <c r="AR124" s="1056"/>
      <c r="AS124" s="1056"/>
      <c r="AT124" s="1056"/>
      <c r="AU124" s="1056"/>
      <c r="AV124" s="1056"/>
      <c r="AW124" s="1056"/>
      <c r="AX124" s="1056"/>
      <c r="AY124" s="1056"/>
      <c r="AZ124" s="1056"/>
      <c r="BA124" s="1056"/>
      <c r="BB124" s="1056"/>
      <c r="BC124" s="1056"/>
    </row>
    <row r="125" spans="1:55" ht="19.5" customHeight="1" thickBot="1" x14ac:dyDescent="0.3">
      <c r="A125" s="223"/>
      <c r="B125" s="1884"/>
      <c r="C125" s="1864"/>
      <c r="D125" s="1865"/>
      <c r="E125" s="1864"/>
      <c r="F125" s="1864"/>
      <c r="G125" s="1863"/>
      <c r="H125" s="1231">
        <f>'Звіт  7,8'!F17/1000</f>
        <v>11975.2</v>
      </c>
      <c r="I125" s="1234">
        <f>'Звіт  7,8'!J28</f>
        <v>189</v>
      </c>
      <c r="J125" s="1131"/>
      <c r="K125" s="1131"/>
      <c r="L125" s="1051"/>
      <c r="M125" s="1107"/>
      <c r="N125" s="1107"/>
      <c r="O125" s="1107"/>
      <c r="P125" s="1107"/>
      <c r="Q125" s="1057"/>
      <c r="R125" s="1057"/>
      <c r="S125" s="1057"/>
      <c r="T125" s="1057"/>
      <c r="U125" s="1057"/>
      <c r="V125" s="1057"/>
      <c r="W125" s="1057"/>
      <c r="X125" s="1057"/>
      <c r="Y125" s="1057"/>
      <c r="Z125" s="1057"/>
      <c r="AA125" s="1057"/>
      <c r="AB125" s="1057"/>
      <c r="AC125" s="1057"/>
      <c r="AD125" s="1057"/>
      <c r="AE125" s="1056"/>
      <c r="AF125" s="1056"/>
      <c r="AG125" s="1056"/>
      <c r="AH125" s="1056"/>
      <c r="AI125" s="1056"/>
      <c r="AJ125" s="1056"/>
      <c r="AK125" s="1056"/>
      <c r="AL125" s="1056"/>
      <c r="AM125" s="1056"/>
      <c r="AN125" s="1056"/>
      <c r="AO125" s="1056"/>
      <c r="AP125" s="1056"/>
      <c r="AQ125" s="1056"/>
      <c r="AR125" s="1056"/>
      <c r="AS125" s="1056"/>
      <c r="AT125" s="1056"/>
      <c r="AU125" s="1056"/>
      <c r="AV125" s="1056"/>
      <c r="AW125" s="1056"/>
      <c r="AX125" s="1056"/>
      <c r="AY125" s="1056"/>
      <c r="AZ125" s="1056"/>
      <c r="BA125" s="1056"/>
      <c r="BB125" s="1056"/>
      <c r="BC125" s="1056"/>
    </row>
    <row r="126" spans="1:55" ht="37.5" x14ac:dyDescent="0.25">
      <c r="A126" s="223"/>
      <c r="B126" s="1883" t="s">
        <v>1870</v>
      </c>
      <c r="C126" s="1864">
        <v>53</v>
      </c>
      <c r="D126" s="1865" t="s">
        <v>353</v>
      </c>
      <c r="E126" s="1864" t="s">
        <v>326</v>
      </c>
      <c r="F126" s="1864" t="s">
        <v>332</v>
      </c>
      <c r="G126" s="1863" t="str">
        <f>IF('Звіт   4,5,6'!E43=0,"Дані не введено",IF(OR(AND(H127&gt;0,I127&gt;0),AND(H127=0,I127=0)),"ПРАВДА","ПОМИЛКА"))</f>
        <v>ПРАВДА</v>
      </c>
      <c r="H126" s="1229" t="s">
        <v>350</v>
      </c>
      <c r="I126" s="1234" t="s">
        <v>351</v>
      </c>
      <c r="J126" s="1131"/>
      <c r="K126" s="1131"/>
      <c r="L126" s="1051"/>
      <c r="M126" s="1107"/>
      <c r="N126" s="1107"/>
      <c r="O126" s="1107"/>
      <c r="P126" s="1107"/>
      <c r="Q126" s="1057"/>
      <c r="R126" s="1057"/>
      <c r="S126" s="1057"/>
      <c r="T126" s="1057"/>
      <c r="U126" s="1057"/>
      <c r="V126" s="1057"/>
      <c r="W126" s="1057"/>
      <c r="X126" s="1057"/>
      <c r="Y126" s="1057"/>
      <c r="Z126" s="1057"/>
      <c r="AA126" s="1057"/>
      <c r="AB126" s="1057"/>
      <c r="AC126" s="1057"/>
      <c r="AD126" s="1057"/>
      <c r="AE126" s="1056"/>
      <c r="AF126" s="1056"/>
      <c r="AG126" s="1056"/>
      <c r="AH126" s="1056"/>
      <c r="AI126" s="1056"/>
      <c r="AJ126" s="1056"/>
      <c r="AK126" s="1056"/>
      <c r="AL126" s="1056"/>
      <c r="AM126" s="1056"/>
      <c r="AN126" s="1056"/>
      <c r="AO126" s="1056"/>
      <c r="AP126" s="1056"/>
      <c r="AQ126" s="1056"/>
      <c r="AR126" s="1056"/>
      <c r="AS126" s="1056"/>
      <c r="AT126" s="1056"/>
      <c r="AU126" s="1056"/>
      <c r="AV126" s="1056"/>
      <c r="AW126" s="1056"/>
      <c r="AX126" s="1056"/>
      <c r="AY126" s="1056"/>
      <c r="AZ126" s="1056"/>
      <c r="BA126" s="1056"/>
      <c r="BB126" s="1056"/>
      <c r="BC126" s="1056"/>
    </row>
    <row r="127" spans="1:55" ht="20.25" customHeight="1" thickBot="1" x14ac:dyDescent="0.3">
      <c r="A127" s="223"/>
      <c r="B127" s="1884"/>
      <c r="C127" s="1864"/>
      <c r="D127" s="1865"/>
      <c r="E127" s="1864"/>
      <c r="F127" s="1864"/>
      <c r="G127" s="1863"/>
      <c r="H127" s="1231">
        <f>'Звіт  7,8'!F18/1000</f>
        <v>5329</v>
      </c>
      <c r="I127" s="1234">
        <f>'Звіт  7,8'!K28</f>
        <v>119</v>
      </c>
      <c r="J127" s="1131"/>
      <c r="K127" s="1131"/>
      <c r="L127" s="1051"/>
      <c r="M127" s="1107"/>
      <c r="N127" s="1107"/>
      <c r="O127" s="1107"/>
      <c r="P127" s="1107"/>
      <c r="Q127" s="1057"/>
      <c r="R127" s="1057"/>
      <c r="S127" s="1057"/>
      <c r="T127" s="1057"/>
      <c r="U127" s="1057"/>
      <c r="V127" s="1057"/>
      <c r="W127" s="1057"/>
      <c r="X127" s="1057"/>
      <c r="Y127" s="1057"/>
      <c r="Z127" s="1057"/>
      <c r="AA127" s="1057"/>
      <c r="AB127" s="1057"/>
      <c r="AC127" s="1057"/>
      <c r="AD127" s="1057"/>
      <c r="AE127" s="1056"/>
      <c r="AF127" s="1056"/>
      <c r="AG127" s="1056"/>
      <c r="AH127" s="1056"/>
      <c r="AI127" s="1056"/>
      <c r="AJ127" s="1056"/>
      <c r="AK127" s="1056"/>
      <c r="AL127" s="1056"/>
      <c r="AM127" s="1056"/>
      <c r="AN127" s="1056"/>
      <c r="AO127" s="1056"/>
      <c r="AP127" s="1056"/>
      <c r="AQ127" s="1056"/>
      <c r="AR127" s="1056"/>
      <c r="AS127" s="1056"/>
      <c r="AT127" s="1056"/>
      <c r="AU127" s="1056"/>
      <c r="AV127" s="1056"/>
      <c r="AW127" s="1056"/>
      <c r="AX127" s="1056"/>
      <c r="AY127" s="1056"/>
      <c r="AZ127" s="1056"/>
      <c r="BA127" s="1056"/>
      <c r="BB127" s="1056"/>
      <c r="BC127" s="1056"/>
    </row>
    <row r="128" spans="1:55" ht="46.5" customHeight="1" x14ac:dyDescent="0.25">
      <c r="A128" s="223"/>
      <c r="B128" s="1883" t="s">
        <v>1871</v>
      </c>
      <c r="C128" s="1864">
        <v>54</v>
      </c>
      <c r="D128" s="1865" t="s">
        <v>1784</v>
      </c>
      <c r="E128" s="1864" t="s">
        <v>326</v>
      </c>
      <c r="F128" s="1864" t="s">
        <v>332</v>
      </c>
      <c r="G128" s="1863" t="str">
        <f>IF('Звіт   4,5,6'!E43=0,"Дані не введено",IF(OR(AND(H129&gt;0,I129&gt;0),AND(H129=0,I129=0)),"ПРАВДА","ПОМИЛКА"))</f>
        <v>ПРАВДА</v>
      </c>
      <c r="H128" s="1229" t="s">
        <v>1785</v>
      </c>
      <c r="I128" s="1229" t="s">
        <v>1788</v>
      </c>
      <c r="J128" s="1225"/>
      <c r="K128" s="1090"/>
      <c r="L128" s="1051"/>
      <c r="M128" s="1107"/>
      <c r="N128" s="1107"/>
      <c r="O128" s="1107"/>
      <c r="P128" s="1107"/>
      <c r="Q128" s="1057"/>
      <c r="R128" s="1057"/>
      <c r="S128" s="1057"/>
      <c r="T128" s="1057"/>
      <c r="U128" s="1057"/>
      <c r="V128" s="1057"/>
      <c r="W128" s="1057"/>
      <c r="X128" s="1057"/>
      <c r="Y128" s="1057"/>
      <c r="Z128" s="1057"/>
      <c r="AA128" s="1057"/>
      <c r="AB128" s="1057"/>
      <c r="AC128" s="1057"/>
      <c r="AD128" s="1057"/>
      <c r="AE128" s="1056"/>
      <c r="AF128" s="1056"/>
      <c r="AG128" s="1056"/>
      <c r="AH128" s="1056"/>
      <c r="AI128" s="1056"/>
      <c r="AJ128" s="1056"/>
      <c r="AK128" s="1056"/>
      <c r="AL128" s="1056"/>
      <c r="AM128" s="1056"/>
      <c r="AN128" s="1056"/>
      <c r="AO128" s="1056"/>
      <c r="AP128" s="1056"/>
      <c r="AQ128" s="1056"/>
      <c r="AR128" s="1056"/>
      <c r="AS128" s="1056"/>
      <c r="AT128" s="1056"/>
      <c r="AU128" s="1056"/>
      <c r="AV128" s="1056"/>
      <c r="AW128" s="1056"/>
      <c r="AX128" s="1056"/>
      <c r="AY128" s="1056"/>
      <c r="AZ128" s="1056"/>
      <c r="BA128" s="1056"/>
      <c r="BB128" s="1056"/>
      <c r="BC128" s="1056"/>
    </row>
    <row r="129" spans="1:55" ht="19.5" thickBot="1" x14ac:dyDescent="0.3">
      <c r="A129" s="223"/>
      <c r="B129" s="1884"/>
      <c r="C129" s="1868"/>
      <c r="D129" s="1869"/>
      <c r="E129" s="1868"/>
      <c r="F129" s="1868"/>
      <c r="G129" s="1867"/>
      <c r="H129" s="1235">
        <f>'Звіт  7,8'!F19/1000</f>
        <v>7148.4</v>
      </c>
      <c r="I129" s="1236">
        <f>'Звіт  7,8'!L28+'Звіт  7,8'!M28</f>
        <v>159</v>
      </c>
      <c r="J129" s="1225"/>
      <c r="K129" s="1090"/>
      <c r="L129" s="1051"/>
      <c r="M129" s="1107"/>
      <c r="N129" s="1107"/>
      <c r="O129" s="1107"/>
      <c r="P129" s="1107"/>
      <c r="Q129" s="1057"/>
      <c r="R129" s="1057"/>
      <c r="S129" s="1057"/>
      <c r="T129" s="1057"/>
      <c r="U129" s="1057"/>
      <c r="V129" s="1057"/>
      <c r="W129" s="1057"/>
      <c r="X129" s="1057"/>
      <c r="Y129" s="1057"/>
      <c r="Z129" s="1057"/>
      <c r="AA129" s="1057"/>
      <c r="AB129" s="1057"/>
      <c r="AC129" s="1057"/>
      <c r="AD129" s="1057"/>
      <c r="AE129" s="1056"/>
      <c r="AF129" s="1056"/>
      <c r="AG129" s="1056"/>
      <c r="AH129" s="1056"/>
      <c r="AI129" s="1056"/>
      <c r="AJ129" s="1056"/>
      <c r="AK129" s="1056"/>
      <c r="AL129" s="1056"/>
      <c r="AM129" s="1056"/>
      <c r="AN129" s="1056"/>
      <c r="AO129" s="1056"/>
      <c r="AP129" s="1056"/>
      <c r="AQ129" s="1056"/>
      <c r="AR129" s="1056"/>
      <c r="AS129" s="1056"/>
      <c r="AT129" s="1056"/>
      <c r="AU129" s="1056"/>
      <c r="AV129" s="1056"/>
      <c r="AW129" s="1056"/>
      <c r="AX129" s="1056"/>
      <c r="AY129" s="1056"/>
      <c r="AZ129" s="1056"/>
      <c r="BA129" s="1056"/>
      <c r="BB129" s="1056"/>
      <c r="BC129" s="1056"/>
    </row>
    <row r="130" spans="1:55" s="939" customFormat="1" ht="38.25" customHeight="1" x14ac:dyDescent="0.25">
      <c r="A130" s="223"/>
      <c r="B130" s="1883" t="s">
        <v>1872</v>
      </c>
      <c r="C130" s="1864">
        <v>55</v>
      </c>
      <c r="D130" s="1865" t="s">
        <v>1792</v>
      </c>
      <c r="E130" s="1864" t="s">
        <v>326</v>
      </c>
      <c r="F130" s="1864" t="s">
        <v>332</v>
      </c>
      <c r="G130" s="1867" t="str">
        <f>IF('Звіт   4,5,6'!E43=0,"Дані не введено",IF(AND(H132&gt;0,I132&gt;=80,'Звіт  7,8'!F38&lt;300000,'Звіт  7,8'!G38&lt;300000,'Звіт  7,8'!E40&lt;=400,'Звіт  7,8'!E40&gt;=50),"ПРАВДА","ПОМИЛКА"))</f>
        <v>ПРАВДА</v>
      </c>
      <c r="H130" s="1870" t="s">
        <v>1789</v>
      </c>
      <c r="I130" s="1870" t="s">
        <v>1790</v>
      </c>
      <c r="J130" s="1841" t="s">
        <v>1782</v>
      </c>
      <c r="K130" s="1841"/>
      <c r="L130" s="1161"/>
      <c r="M130" s="1107"/>
      <c r="N130" s="1107"/>
      <c r="O130" s="1107"/>
      <c r="P130" s="1107"/>
      <c r="Q130" s="1057"/>
      <c r="R130" s="1057"/>
      <c r="S130" s="1057"/>
      <c r="T130" s="1057"/>
      <c r="U130" s="1057"/>
      <c r="V130" s="1057"/>
      <c r="W130" s="1057"/>
      <c r="X130" s="1057"/>
      <c r="Y130" s="1057"/>
      <c r="Z130" s="1057"/>
      <c r="AA130" s="1057"/>
      <c r="AB130" s="1057"/>
      <c r="AC130" s="1057"/>
      <c r="AD130" s="1057"/>
      <c r="AE130" s="1056"/>
      <c r="AF130" s="1056"/>
      <c r="AG130" s="1056"/>
      <c r="AH130" s="1056"/>
      <c r="AI130" s="1056"/>
      <c r="AJ130" s="1056"/>
      <c r="AK130" s="1056"/>
      <c r="AL130" s="1056"/>
      <c r="AM130" s="1056"/>
      <c r="AN130" s="1056"/>
      <c r="AO130" s="1056"/>
      <c r="AP130" s="1056"/>
      <c r="AQ130" s="1056"/>
      <c r="AR130" s="1056"/>
      <c r="AS130" s="1056"/>
      <c r="AT130" s="1056"/>
      <c r="AU130" s="1056"/>
      <c r="AV130" s="1056"/>
      <c r="AW130" s="1056"/>
      <c r="AX130" s="1056"/>
      <c r="AY130" s="1056"/>
      <c r="AZ130" s="1056"/>
      <c r="BA130" s="1056"/>
      <c r="BB130" s="1056"/>
      <c r="BC130" s="1056"/>
    </row>
    <row r="131" spans="1:55" ht="37.5" customHeight="1" thickBot="1" x14ac:dyDescent="0.3">
      <c r="A131" s="223"/>
      <c r="B131" s="1884"/>
      <c r="C131" s="1864"/>
      <c r="D131" s="1865"/>
      <c r="E131" s="1864"/>
      <c r="F131" s="1864"/>
      <c r="G131" s="1871"/>
      <c r="H131" s="1870"/>
      <c r="I131" s="1870"/>
      <c r="J131" s="1228" t="str">
        <f>'Звіт  7,8'!I35</f>
        <v>Середній медичний персонал</v>
      </c>
      <c r="K131" s="1228" t="str">
        <f>'Звіт  7,8'!J35</f>
        <v>Молодший медичний персонал</v>
      </c>
      <c r="L131" s="1162"/>
      <c r="M131" s="1107"/>
      <c r="N131" s="1107"/>
      <c r="O131" s="1107"/>
      <c r="P131" s="1107"/>
      <c r="Q131" s="1057"/>
      <c r="R131" s="1057"/>
      <c r="S131" s="1057"/>
      <c r="T131" s="1057"/>
      <c r="U131" s="1057"/>
      <c r="V131" s="1057"/>
      <c r="W131" s="1057"/>
      <c r="X131" s="1057"/>
      <c r="Y131" s="1057"/>
      <c r="Z131" s="1057"/>
      <c r="AA131" s="1057"/>
      <c r="AB131" s="1057"/>
      <c r="AC131" s="1057"/>
      <c r="AD131" s="1057"/>
      <c r="AE131" s="1056"/>
      <c r="AF131" s="1056"/>
      <c r="AG131" s="1056"/>
      <c r="AH131" s="1056"/>
      <c r="AI131" s="1056"/>
      <c r="AJ131" s="1056"/>
      <c r="AK131" s="1056"/>
      <c r="AL131" s="1056"/>
      <c r="AM131" s="1056"/>
      <c r="AN131" s="1056"/>
      <c r="AO131" s="1056"/>
      <c r="AP131" s="1056"/>
      <c r="AQ131" s="1056"/>
      <c r="AR131" s="1056"/>
      <c r="AS131" s="1056"/>
      <c r="AT131" s="1056"/>
      <c r="AU131" s="1056"/>
      <c r="AV131" s="1056"/>
      <c r="AW131" s="1056"/>
      <c r="AX131" s="1056"/>
      <c r="AY131" s="1056"/>
      <c r="AZ131" s="1056"/>
      <c r="BA131" s="1056"/>
      <c r="BB131" s="1056"/>
      <c r="BC131" s="1056"/>
    </row>
    <row r="132" spans="1:55" ht="30" customHeight="1" x14ac:dyDescent="0.25">
      <c r="A132" s="223"/>
      <c r="B132" s="1883" t="s">
        <v>1873</v>
      </c>
      <c r="C132" s="1864"/>
      <c r="D132" s="1865"/>
      <c r="E132" s="1864"/>
      <c r="F132" s="1864"/>
      <c r="G132" s="1872"/>
      <c r="H132" s="1234">
        <f>'Звіт  7,8'!N28</f>
        <v>496164</v>
      </c>
      <c r="I132" s="1229">
        <f>IFERROR('Звіт  7,8'!E29*100/'Звіт  7,8'!E28,0)</f>
        <v>98.61</v>
      </c>
      <c r="J132" s="1228">
        <f>'Звіт  7,8'!I38</f>
        <v>10560.18</v>
      </c>
      <c r="K132" s="1228">
        <f>'Звіт  7,8'!J38</f>
        <v>7526.87</v>
      </c>
      <c r="L132" s="1162"/>
      <c r="M132" s="1107"/>
      <c r="N132" s="1107"/>
      <c r="O132" s="1107"/>
      <c r="P132" s="1107"/>
      <c r="Q132" s="1057"/>
      <c r="R132" s="1057"/>
      <c r="S132" s="1057"/>
      <c r="T132" s="1057"/>
      <c r="U132" s="1057"/>
      <c r="V132" s="1057"/>
      <c r="W132" s="1057"/>
      <c r="X132" s="1057"/>
      <c r="Y132" s="1057"/>
      <c r="Z132" s="1057"/>
      <c r="AA132" s="1057"/>
      <c r="AB132" s="1057"/>
      <c r="AC132" s="1057"/>
      <c r="AD132" s="1057"/>
      <c r="AE132" s="1056"/>
      <c r="AF132" s="1056"/>
      <c r="AG132" s="1056"/>
      <c r="AH132" s="1056"/>
      <c r="AI132" s="1056"/>
      <c r="AJ132" s="1056"/>
      <c r="AK132" s="1056"/>
      <c r="AL132" s="1056"/>
      <c r="AM132" s="1056"/>
      <c r="AN132" s="1056"/>
      <c r="AO132" s="1056"/>
      <c r="AP132" s="1056"/>
      <c r="AQ132" s="1056"/>
      <c r="AR132" s="1056"/>
      <c r="AS132" s="1056"/>
      <c r="AT132" s="1056"/>
      <c r="AU132" s="1056"/>
      <c r="AV132" s="1056"/>
      <c r="AW132" s="1056"/>
      <c r="AX132" s="1056"/>
      <c r="AY132" s="1056"/>
      <c r="AZ132" s="1056"/>
      <c r="BA132" s="1056"/>
      <c r="BB132" s="1056"/>
      <c r="BC132" s="1056"/>
    </row>
    <row r="133" spans="1:55" ht="19.5" thickBot="1" x14ac:dyDescent="0.35">
      <c r="B133" s="1884"/>
      <c r="C133" s="1056"/>
      <c r="D133" s="1056"/>
      <c r="E133" s="1163"/>
      <c r="F133" s="1163"/>
      <c r="G133" s="1056"/>
      <c r="H133" s="1056"/>
      <c r="I133" s="1056"/>
      <c r="J133" s="1056"/>
      <c r="K133" s="1104"/>
      <c r="L133" s="1056"/>
      <c r="M133" s="1056"/>
      <c r="N133" s="1056"/>
      <c r="O133" s="1056"/>
      <c r="P133" s="1056"/>
      <c r="Q133" s="1056"/>
      <c r="R133" s="1056"/>
      <c r="S133" s="1056"/>
      <c r="T133" s="1056"/>
      <c r="U133" s="1056"/>
      <c r="V133" s="1056"/>
      <c r="W133" s="1056"/>
      <c r="X133" s="1056"/>
      <c r="Y133" s="1056"/>
      <c r="Z133" s="1056"/>
      <c r="AA133" s="1056"/>
      <c r="AB133" s="1056"/>
      <c r="AC133" s="1056"/>
      <c r="AD133" s="1056"/>
      <c r="AE133" s="1056"/>
      <c r="AF133" s="1056"/>
      <c r="AG133" s="1056"/>
      <c r="AH133" s="1056"/>
      <c r="AI133" s="1056"/>
      <c r="AJ133" s="1056"/>
      <c r="AK133" s="1056"/>
      <c r="AL133" s="1056"/>
      <c r="AM133" s="1056"/>
      <c r="AN133" s="1056"/>
      <c r="AO133" s="1056"/>
      <c r="AP133" s="1056"/>
      <c r="AQ133" s="1056"/>
      <c r="AR133" s="1056"/>
      <c r="AS133" s="1056"/>
      <c r="AT133" s="1056"/>
      <c r="AU133" s="1056"/>
      <c r="AV133" s="1056"/>
      <c r="AW133" s="1056"/>
      <c r="AX133" s="1056"/>
      <c r="AY133" s="1056"/>
      <c r="AZ133" s="1056"/>
      <c r="BA133" s="1056"/>
      <c r="BB133" s="1056"/>
      <c r="BC133" s="1056"/>
    </row>
    <row r="134" spans="1:55" x14ac:dyDescent="0.3">
      <c r="B134" s="1883" t="s">
        <v>1874</v>
      </c>
      <c r="C134" s="1056"/>
      <c r="D134" s="1056"/>
      <c r="E134" s="1163"/>
      <c r="F134" s="1163"/>
      <c r="G134" s="1056"/>
      <c r="H134" s="1056"/>
      <c r="I134" s="1056"/>
      <c r="J134" s="1056"/>
      <c r="K134" s="1056"/>
      <c r="L134" s="1056"/>
      <c r="M134" s="1056"/>
      <c r="N134" s="1056"/>
      <c r="O134" s="1056"/>
      <c r="P134" s="1056"/>
      <c r="Q134" s="1056"/>
      <c r="R134" s="1056"/>
      <c r="S134" s="1056"/>
      <c r="T134" s="1056"/>
      <c r="U134" s="1056"/>
      <c r="V134" s="1056"/>
      <c r="W134" s="1056"/>
      <c r="X134" s="1056"/>
      <c r="Y134" s="1056"/>
      <c r="Z134" s="1056"/>
      <c r="AA134" s="1056"/>
      <c r="AB134" s="1056"/>
      <c r="AC134" s="1056"/>
      <c r="AD134" s="1056"/>
      <c r="AE134" s="1056"/>
      <c r="AF134" s="1056"/>
      <c r="AG134" s="1056"/>
      <c r="AH134" s="1056"/>
      <c r="AI134" s="1056"/>
      <c r="AJ134" s="1056"/>
      <c r="AK134" s="1056"/>
      <c r="AL134" s="1056"/>
      <c r="AM134" s="1056"/>
      <c r="AN134" s="1056"/>
      <c r="AO134" s="1056"/>
      <c r="AP134" s="1056"/>
      <c r="AQ134" s="1056"/>
      <c r="AR134" s="1056"/>
      <c r="AS134" s="1056"/>
      <c r="AT134" s="1056"/>
      <c r="AU134" s="1056"/>
      <c r="AV134" s="1056"/>
      <c r="AW134" s="1056"/>
      <c r="AX134" s="1056"/>
      <c r="AY134" s="1056"/>
      <c r="AZ134" s="1056"/>
      <c r="BA134" s="1056"/>
      <c r="BB134" s="1056"/>
      <c r="BC134" s="1056"/>
    </row>
    <row r="135" spans="1:55" ht="19.5" thickBot="1" x14ac:dyDescent="0.35">
      <c r="B135" s="1884"/>
      <c r="C135" s="1056"/>
      <c r="D135" s="1056"/>
      <c r="E135" s="1163"/>
      <c r="F135" s="1163"/>
      <c r="G135" s="1056"/>
      <c r="H135" s="1056"/>
      <c r="I135" s="1056"/>
      <c r="J135" s="1056"/>
      <c r="K135" s="1056"/>
      <c r="L135" s="1056"/>
      <c r="M135" s="1056"/>
      <c r="N135" s="1056"/>
      <c r="O135" s="1056"/>
      <c r="P135" s="1056"/>
      <c r="Q135" s="1056"/>
      <c r="R135" s="1056"/>
      <c r="S135" s="1056"/>
      <c r="T135" s="1056"/>
      <c r="U135" s="1056"/>
      <c r="V135" s="1056"/>
      <c r="W135" s="1056"/>
      <c r="X135" s="1056"/>
      <c r="Y135" s="1056"/>
      <c r="Z135" s="1056"/>
      <c r="AA135" s="1056"/>
      <c r="AB135" s="1056"/>
      <c r="AC135" s="1056"/>
      <c r="AD135" s="1056"/>
      <c r="AE135" s="1056"/>
      <c r="AF135" s="1056"/>
      <c r="AG135" s="1056"/>
      <c r="AH135" s="1056"/>
      <c r="AI135" s="1056"/>
      <c r="AJ135" s="1056"/>
      <c r="AK135" s="1056"/>
      <c r="AL135" s="1056"/>
      <c r="AM135" s="1056"/>
      <c r="AN135" s="1056"/>
      <c r="AO135" s="1056"/>
      <c r="AP135" s="1056"/>
      <c r="AQ135" s="1056"/>
      <c r="AR135" s="1056"/>
      <c r="AS135" s="1056"/>
      <c r="AT135" s="1056"/>
      <c r="AU135" s="1056"/>
      <c r="AV135" s="1056"/>
      <c r="AW135" s="1056"/>
      <c r="AX135" s="1056"/>
      <c r="AY135" s="1056"/>
      <c r="AZ135" s="1056"/>
      <c r="BA135" s="1056"/>
      <c r="BB135" s="1056"/>
      <c r="BC135" s="1056"/>
    </row>
    <row r="136" spans="1:55" x14ac:dyDescent="0.3">
      <c r="B136" s="1883" t="s">
        <v>1875</v>
      </c>
      <c r="C136" s="1056"/>
      <c r="D136" s="1056"/>
      <c r="E136" s="1163"/>
      <c r="F136" s="1163"/>
      <c r="G136" s="1056"/>
      <c r="H136" s="1056"/>
      <c r="I136" s="1056"/>
      <c r="J136" s="1056"/>
      <c r="K136" s="1056"/>
      <c r="L136" s="1056"/>
      <c r="M136" s="1056"/>
      <c r="N136" s="1056"/>
      <c r="O136" s="1056"/>
      <c r="P136" s="1056"/>
      <c r="Q136" s="1056"/>
      <c r="R136" s="1056"/>
      <c r="S136" s="1056"/>
      <c r="T136" s="1056"/>
      <c r="U136" s="1056"/>
      <c r="V136" s="1056"/>
      <c r="W136" s="1056"/>
      <c r="X136" s="1056"/>
      <c r="Y136" s="1056"/>
      <c r="Z136" s="1056"/>
      <c r="AA136" s="1056"/>
      <c r="AB136" s="1056"/>
      <c r="AC136" s="1056"/>
      <c r="AD136" s="1056"/>
      <c r="AE136" s="1056"/>
      <c r="AF136" s="1056"/>
      <c r="AG136" s="1056"/>
      <c r="AH136" s="1056"/>
      <c r="AI136" s="1056"/>
      <c r="AJ136" s="1056"/>
      <c r="AK136" s="1056"/>
      <c r="AL136" s="1056"/>
      <c r="AM136" s="1056"/>
      <c r="AN136" s="1056"/>
      <c r="AO136" s="1056"/>
      <c r="AP136" s="1056"/>
      <c r="AQ136" s="1056"/>
      <c r="AR136" s="1056"/>
      <c r="AS136" s="1056"/>
      <c r="AT136" s="1056"/>
      <c r="AU136" s="1056"/>
      <c r="AV136" s="1056"/>
      <c r="AW136" s="1056"/>
      <c r="AX136" s="1056"/>
      <c r="AY136" s="1056"/>
      <c r="AZ136" s="1056"/>
      <c r="BA136" s="1056"/>
      <c r="BB136" s="1056"/>
      <c r="BC136" s="1056"/>
    </row>
    <row r="137" spans="1:55" ht="19.5" thickBot="1" x14ac:dyDescent="0.35">
      <c r="B137" s="1884"/>
      <c r="C137" s="1056"/>
      <c r="D137" s="1056"/>
      <c r="E137" s="1163"/>
      <c r="F137" s="1163"/>
      <c r="G137" s="1056"/>
      <c r="H137" s="1056"/>
      <c r="I137" s="1056"/>
      <c r="J137" s="1056"/>
      <c r="K137" s="1056"/>
      <c r="L137" s="1056"/>
      <c r="M137" s="1056"/>
      <c r="N137" s="1056"/>
      <c r="O137" s="1056"/>
      <c r="P137" s="1056"/>
      <c r="Q137" s="1056"/>
      <c r="R137" s="1056"/>
      <c r="S137" s="1056"/>
      <c r="T137" s="1056"/>
      <c r="U137" s="1056"/>
      <c r="V137" s="1056"/>
      <c r="W137" s="1056"/>
      <c r="X137" s="1056"/>
      <c r="Y137" s="1056"/>
      <c r="Z137" s="1056"/>
      <c r="AA137" s="1056"/>
      <c r="AB137" s="1056"/>
      <c r="AC137" s="1056"/>
      <c r="AD137" s="1056"/>
      <c r="AE137" s="1056"/>
      <c r="AF137" s="1056"/>
      <c r="AG137" s="1056"/>
      <c r="AH137" s="1056"/>
      <c r="AI137" s="1056"/>
      <c r="AJ137" s="1056"/>
      <c r="AK137" s="1056"/>
      <c r="AL137" s="1056"/>
      <c r="AM137" s="1056"/>
      <c r="AN137" s="1056"/>
      <c r="AO137" s="1056"/>
      <c r="AP137" s="1056"/>
      <c r="AQ137" s="1056"/>
      <c r="AR137" s="1056"/>
      <c r="AS137" s="1056"/>
      <c r="AT137" s="1056"/>
      <c r="AU137" s="1056"/>
      <c r="AV137" s="1056"/>
      <c r="AW137" s="1056"/>
      <c r="AX137" s="1056"/>
      <c r="AY137" s="1056"/>
      <c r="AZ137" s="1056"/>
      <c r="BA137" s="1056"/>
      <c r="BB137" s="1056"/>
      <c r="BC137" s="1056"/>
    </row>
    <row r="138" spans="1:55" x14ac:dyDescent="0.3">
      <c r="B138" s="1883" t="s">
        <v>1876</v>
      </c>
      <c r="C138" s="1056"/>
      <c r="D138" s="1056"/>
      <c r="E138" s="1163"/>
      <c r="F138" s="1163"/>
      <c r="G138" s="1056"/>
      <c r="H138" s="1056"/>
      <c r="I138" s="1056"/>
      <c r="J138" s="1056"/>
      <c r="K138" s="1056"/>
      <c r="L138" s="1056"/>
      <c r="M138" s="1056"/>
      <c r="N138" s="1056"/>
      <c r="O138" s="1056"/>
      <c r="P138" s="1056"/>
      <c r="Q138" s="1056"/>
      <c r="R138" s="1056"/>
      <c r="S138" s="1056"/>
      <c r="T138" s="1056"/>
      <c r="U138" s="1056"/>
      <c r="V138" s="1056"/>
      <c r="W138" s="1056"/>
      <c r="X138" s="1056"/>
      <c r="Y138" s="1056"/>
      <c r="Z138" s="1056"/>
      <c r="AA138" s="1056"/>
      <c r="AB138" s="1056"/>
      <c r="AC138" s="1056"/>
      <c r="AD138" s="1056"/>
      <c r="AE138" s="1056"/>
      <c r="AF138" s="1056"/>
      <c r="AG138" s="1056"/>
      <c r="AH138" s="1056"/>
      <c r="AI138" s="1056"/>
      <c r="AJ138" s="1056"/>
      <c r="AK138" s="1056"/>
      <c r="AL138" s="1056"/>
      <c r="AM138" s="1056"/>
      <c r="AN138" s="1056"/>
      <c r="AO138" s="1056"/>
      <c r="AP138" s="1056"/>
      <c r="AQ138" s="1056"/>
      <c r="AR138" s="1056"/>
      <c r="AS138" s="1056"/>
      <c r="AT138" s="1056"/>
      <c r="AU138" s="1056"/>
      <c r="AV138" s="1056"/>
      <c r="AW138" s="1056"/>
      <c r="AX138" s="1056"/>
      <c r="AY138" s="1056"/>
      <c r="AZ138" s="1056"/>
      <c r="BA138" s="1056"/>
      <c r="BB138" s="1056"/>
      <c r="BC138" s="1056"/>
    </row>
    <row r="139" spans="1:55" ht="19.5" thickBot="1" x14ac:dyDescent="0.35">
      <c r="B139" s="1891"/>
      <c r="C139" s="1056"/>
      <c r="D139" s="1056"/>
      <c r="E139" s="1163"/>
      <c r="F139" s="1163"/>
      <c r="G139" s="1056"/>
      <c r="H139" s="1056"/>
      <c r="I139" s="1056"/>
      <c r="J139" s="1056"/>
      <c r="K139" s="1056"/>
      <c r="L139" s="1056"/>
      <c r="M139" s="1056"/>
      <c r="N139" s="1056"/>
      <c r="O139" s="1056"/>
      <c r="P139" s="1056"/>
      <c r="Q139" s="1056"/>
      <c r="R139" s="1056"/>
      <c r="S139" s="1056"/>
      <c r="T139" s="1056"/>
      <c r="U139" s="1056"/>
      <c r="V139" s="1056"/>
      <c r="W139" s="1056"/>
      <c r="X139" s="1056"/>
      <c r="Y139" s="1056"/>
      <c r="Z139" s="1056"/>
      <c r="AA139" s="1056"/>
      <c r="AB139" s="1056"/>
      <c r="AC139" s="1056"/>
      <c r="AD139" s="1056"/>
      <c r="AE139" s="1056"/>
      <c r="AF139" s="1056"/>
      <c r="AG139" s="1056"/>
      <c r="AH139" s="1056"/>
      <c r="AI139" s="1056"/>
      <c r="AJ139" s="1056"/>
      <c r="AK139" s="1056"/>
      <c r="AL139" s="1056"/>
      <c r="AM139" s="1056"/>
      <c r="AN139" s="1056"/>
      <c r="AO139" s="1056"/>
      <c r="AP139" s="1056"/>
      <c r="AQ139" s="1056"/>
      <c r="AR139" s="1056"/>
      <c r="AS139" s="1056"/>
      <c r="AT139" s="1056"/>
      <c r="AU139" s="1056"/>
      <c r="AV139" s="1056"/>
      <c r="AW139" s="1056"/>
      <c r="AX139" s="1056"/>
      <c r="AY139" s="1056"/>
      <c r="AZ139" s="1056"/>
      <c r="BA139" s="1056"/>
      <c r="BB139" s="1056"/>
      <c r="BC139" s="1056"/>
    </row>
    <row r="140" spans="1:55" x14ac:dyDescent="0.3">
      <c r="B140" s="1281"/>
      <c r="C140" s="1056"/>
      <c r="D140" s="1056"/>
      <c r="E140" s="1163"/>
      <c r="F140" s="1163"/>
      <c r="G140" s="1056"/>
      <c r="H140" s="1056"/>
      <c r="I140" s="1056"/>
      <c r="J140" s="1056"/>
      <c r="K140" s="1056"/>
      <c r="L140" s="1056"/>
      <c r="M140" s="1056"/>
      <c r="N140" s="1056"/>
      <c r="O140" s="1056"/>
      <c r="P140" s="1056"/>
      <c r="Q140" s="1056"/>
      <c r="R140" s="1056"/>
      <c r="S140" s="1056"/>
      <c r="T140" s="1056"/>
      <c r="U140" s="1056"/>
      <c r="V140" s="1056"/>
      <c r="W140" s="1056"/>
      <c r="X140" s="1056"/>
      <c r="Y140" s="1056"/>
      <c r="Z140" s="1056"/>
      <c r="AA140" s="1056"/>
      <c r="AB140" s="1056"/>
      <c r="AC140" s="1056"/>
      <c r="AD140" s="1056"/>
      <c r="AE140" s="1056"/>
      <c r="AF140" s="1056"/>
      <c r="AG140" s="1056"/>
      <c r="AH140" s="1056"/>
      <c r="AI140" s="1056"/>
      <c r="AJ140" s="1056"/>
      <c r="AK140" s="1056"/>
      <c r="AL140" s="1056"/>
      <c r="AM140" s="1056"/>
      <c r="AN140" s="1056"/>
      <c r="AO140" s="1056"/>
      <c r="AP140" s="1056"/>
      <c r="AQ140" s="1056"/>
      <c r="AR140" s="1056"/>
      <c r="AS140" s="1056"/>
      <c r="AT140" s="1056"/>
      <c r="AU140" s="1056"/>
      <c r="AV140" s="1056"/>
      <c r="AW140" s="1056"/>
      <c r="AX140" s="1056"/>
      <c r="AY140" s="1056"/>
      <c r="AZ140" s="1056"/>
      <c r="BA140" s="1056"/>
      <c r="BB140" s="1056"/>
      <c r="BC140" s="1056"/>
    </row>
    <row r="141" spans="1:55" x14ac:dyDescent="0.3">
      <c r="B141" s="1892" t="s">
        <v>1877</v>
      </c>
      <c r="C141" s="1056"/>
      <c r="D141" s="1056"/>
      <c r="E141" s="1163"/>
      <c r="F141" s="1163"/>
      <c r="G141" s="1056"/>
      <c r="H141" s="1056"/>
      <c r="I141" s="1056"/>
      <c r="J141" s="1056"/>
      <c r="K141" s="1056"/>
      <c r="L141" s="1056"/>
      <c r="M141" s="1056"/>
      <c r="N141" s="1056"/>
      <c r="O141" s="1056"/>
      <c r="P141" s="1056"/>
      <c r="Q141" s="1056"/>
      <c r="R141" s="1056"/>
      <c r="S141" s="1056"/>
      <c r="T141" s="1056"/>
      <c r="U141" s="1056"/>
      <c r="V141" s="1056"/>
      <c r="W141" s="1056"/>
      <c r="X141" s="1056"/>
      <c r="Y141" s="1056"/>
      <c r="Z141" s="1056"/>
      <c r="AA141" s="1056"/>
      <c r="AB141" s="1056"/>
      <c r="AC141" s="1056"/>
      <c r="AD141" s="1056"/>
      <c r="AE141" s="1056"/>
      <c r="AF141" s="1056"/>
      <c r="AG141" s="1056"/>
      <c r="AH141" s="1056"/>
      <c r="AI141" s="1056"/>
      <c r="AJ141" s="1056"/>
      <c r="AK141" s="1056"/>
      <c r="AL141" s="1056"/>
      <c r="AM141" s="1056"/>
      <c r="AN141" s="1056"/>
      <c r="AO141" s="1056"/>
      <c r="AP141" s="1056"/>
      <c r="AQ141" s="1056"/>
      <c r="AR141" s="1056"/>
      <c r="AS141" s="1056"/>
      <c r="AT141" s="1056"/>
      <c r="AU141" s="1056"/>
      <c r="AV141" s="1056"/>
      <c r="AW141" s="1056"/>
      <c r="AX141" s="1056"/>
      <c r="AY141" s="1056"/>
      <c r="AZ141" s="1056"/>
      <c r="BA141" s="1056"/>
      <c r="BB141" s="1056"/>
      <c r="BC141" s="1056"/>
    </row>
    <row r="142" spans="1:55" ht="19.5" thickBot="1" x14ac:dyDescent="0.35">
      <c r="B142" s="1893"/>
      <c r="C142" s="1056"/>
      <c r="D142" s="1056"/>
      <c r="E142" s="1163"/>
      <c r="F142" s="1163"/>
      <c r="G142" s="1056"/>
      <c r="H142" s="1056"/>
      <c r="I142" s="1056"/>
      <c r="J142" s="1056"/>
      <c r="K142" s="1056"/>
      <c r="L142" s="1056"/>
      <c r="M142" s="1056"/>
      <c r="N142" s="1056"/>
      <c r="O142" s="1056"/>
      <c r="P142" s="1056"/>
      <c r="Q142" s="1056"/>
      <c r="R142" s="1056"/>
      <c r="S142" s="1056"/>
      <c r="T142" s="1056"/>
      <c r="U142" s="1056"/>
      <c r="V142" s="1056"/>
      <c r="W142" s="1056"/>
      <c r="X142" s="1056"/>
      <c r="Y142" s="1056"/>
      <c r="Z142" s="1056"/>
      <c r="AA142" s="1056"/>
      <c r="AB142" s="1056"/>
      <c r="AC142" s="1056"/>
      <c r="AD142" s="1056"/>
      <c r="AE142" s="1056"/>
      <c r="AF142" s="1056"/>
      <c r="AG142" s="1056"/>
      <c r="AH142" s="1056"/>
      <c r="AI142" s="1056"/>
      <c r="AJ142" s="1056"/>
      <c r="AK142" s="1056"/>
      <c r="AL142" s="1056"/>
      <c r="AM142" s="1056"/>
      <c r="AN142" s="1056"/>
      <c r="AO142" s="1056"/>
      <c r="AP142" s="1056"/>
      <c r="AQ142" s="1056"/>
      <c r="AR142" s="1056"/>
      <c r="AS142" s="1056"/>
      <c r="AT142" s="1056"/>
      <c r="AU142" s="1056"/>
      <c r="AV142" s="1056"/>
      <c r="AW142" s="1056"/>
      <c r="AX142" s="1056"/>
      <c r="AY142" s="1056"/>
      <c r="AZ142" s="1056"/>
      <c r="BA142" s="1056"/>
      <c r="BB142" s="1056"/>
      <c r="BC142" s="1056"/>
    </row>
    <row r="143" spans="1:55" x14ac:dyDescent="0.3">
      <c r="C143" s="1056"/>
      <c r="D143" s="1056"/>
      <c r="E143" s="1163"/>
      <c r="F143" s="1163"/>
      <c r="G143" s="1056"/>
      <c r="H143" s="1056"/>
      <c r="I143" s="1056"/>
      <c r="J143" s="1056"/>
      <c r="K143" s="1056"/>
      <c r="L143" s="1056"/>
      <c r="M143" s="1056"/>
      <c r="N143" s="1056"/>
      <c r="O143" s="1056"/>
      <c r="P143" s="1056"/>
      <c r="Q143" s="1056"/>
      <c r="R143" s="1056"/>
      <c r="S143" s="1056"/>
      <c r="T143" s="1056"/>
      <c r="U143" s="1056"/>
      <c r="V143" s="1056"/>
      <c r="W143" s="1056"/>
      <c r="X143" s="1056"/>
      <c r="Y143" s="1056"/>
      <c r="Z143" s="1056"/>
      <c r="AA143" s="1056"/>
      <c r="AB143" s="1056"/>
      <c r="AC143" s="1056"/>
      <c r="AD143" s="1056"/>
      <c r="AE143" s="1056"/>
      <c r="AF143" s="1056"/>
      <c r="AG143" s="1056"/>
      <c r="AH143" s="1056"/>
      <c r="AI143" s="1056"/>
      <c r="AJ143" s="1056"/>
      <c r="AK143" s="1056"/>
      <c r="AL143" s="1056"/>
      <c r="AM143" s="1056"/>
      <c r="AN143" s="1056"/>
      <c r="AO143" s="1056"/>
      <c r="AP143" s="1056"/>
      <c r="AQ143" s="1056"/>
      <c r="AR143" s="1056"/>
      <c r="AS143" s="1056"/>
      <c r="AT143" s="1056"/>
      <c r="AU143" s="1056"/>
      <c r="AV143" s="1056"/>
      <c r="AW143" s="1056"/>
      <c r="AX143" s="1056"/>
      <c r="AY143" s="1056"/>
      <c r="AZ143" s="1056"/>
      <c r="BA143" s="1056"/>
      <c r="BB143" s="1056"/>
      <c r="BC143" s="1056"/>
    </row>
    <row r="144" spans="1:55" x14ac:dyDescent="0.3">
      <c r="C144" s="1056"/>
      <c r="D144" s="1056"/>
      <c r="E144" s="1163"/>
      <c r="F144" s="1163"/>
      <c r="G144" s="1056"/>
      <c r="H144" s="1056"/>
      <c r="I144" s="1056"/>
      <c r="J144" s="1056"/>
      <c r="K144" s="1056"/>
      <c r="L144" s="1056"/>
      <c r="M144" s="1056"/>
      <c r="N144" s="1056"/>
      <c r="O144" s="1056"/>
      <c r="P144" s="1056"/>
      <c r="Q144" s="1056"/>
      <c r="R144" s="1056"/>
      <c r="S144" s="1056"/>
      <c r="T144" s="1056"/>
      <c r="U144" s="1056"/>
      <c r="V144" s="1056"/>
      <c r="W144" s="1056"/>
      <c r="X144" s="1056"/>
      <c r="Y144" s="1056"/>
      <c r="Z144" s="1056"/>
      <c r="AA144" s="1056"/>
      <c r="AB144" s="1056"/>
      <c r="AC144" s="1056"/>
      <c r="AD144" s="1056"/>
      <c r="AE144" s="1056"/>
      <c r="AF144" s="1056"/>
      <c r="AG144" s="1056"/>
      <c r="AH144" s="1056"/>
      <c r="AI144" s="1056"/>
      <c r="AJ144" s="1056"/>
      <c r="AK144" s="1056"/>
      <c r="AL144" s="1056"/>
      <c r="AM144" s="1056"/>
      <c r="AN144" s="1056"/>
      <c r="AO144" s="1056"/>
      <c r="AP144" s="1056"/>
      <c r="AQ144" s="1056"/>
      <c r="AR144" s="1056"/>
      <c r="AS144" s="1056"/>
      <c r="AT144" s="1056"/>
      <c r="AU144" s="1056"/>
      <c r="AV144" s="1056"/>
      <c r="AW144" s="1056"/>
      <c r="AX144" s="1056"/>
      <c r="AY144" s="1056"/>
      <c r="AZ144" s="1056"/>
      <c r="BA144" s="1056"/>
      <c r="BB144" s="1056"/>
      <c r="BC144" s="1056"/>
    </row>
  </sheetData>
  <sheetProtection password="F86B" sheet="1" formatCells="0" formatColumns="0" formatRows="0"/>
  <mergeCells count="319">
    <mergeCell ref="BC90:BC91"/>
    <mergeCell ref="B138:B139"/>
    <mergeCell ref="B141:B142"/>
    <mergeCell ref="B120:B121"/>
    <mergeCell ref="B122:B123"/>
    <mergeCell ref="B124:B125"/>
    <mergeCell ref="B126:B127"/>
    <mergeCell ref="B128:B129"/>
    <mergeCell ref="V93:Y93"/>
    <mergeCell ref="Z93:Z94"/>
    <mergeCell ref="B130:B131"/>
    <mergeCell ref="B116:B117"/>
    <mergeCell ref="B118:B119"/>
    <mergeCell ref="H93:O93"/>
    <mergeCell ref="I130:I131"/>
    <mergeCell ref="D124:D125"/>
    <mergeCell ref="D126:D127"/>
    <mergeCell ref="E126:E127"/>
    <mergeCell ref="F126:F127"/>
    <mergeCell ref="G126:G127"/>
    <mergeCell ref="B132:B133"/>
    <mergeCell ref="B134:B135"/>
    <mergeCell ref="B136:B137"/>
    <mergeCell ref="AY90:BB90"/>
    <mergeCell ref="V90:AC90"/>
    <mergeCell ref="P93:U93"/>
    <mergeCell ref="AD90:AK90"/>
    <mergeCell ref="AA93:AE93"/>
    <mergeCell ref="AM90:AR90"/>
    <mergeCell ref="AS90:AX90"/>
    <mergeCell ref="N86:O86"/>
    <mergeCell ref="H82:M82"/>
    <mergeCell ref="N82:O82"/>
    <mergeCell ref="P82:Q82"/>
    <mergeCell ref="R82:W82"/>
    <mergeCell ref="N87:R87"/>
    <mergeCell ref="P86:Q86"/>
    <mergeCell ref="T86:U86"/>
    <mergeCell ref="H87:M87"/>
    <mergeCell ref="AF93:AK93"/>
    <mergeCell ref="C33:C34"/>
    <mergeCell ref="D33:D34"/>
    <mergeCell ref="E33:E34"/>
    <mergeCell ref="F33:F34"/>
    <mergeCell ref="G33:G34"/>
    <mergeCell ref="C40:C41"/>
    <mergeCell ref="D40:D41"/>
    <mergeCell ref="E40:E41"/>
    <mergeCell ref="F40:F41"/>
    <mergeCell ref="D37:D38"/>
    <mergeCell ref="C37:C38"/>
    <mergeCell ref="E37:E38"/>
    <mergeCell ref="F37:F38"/>
    <mergeCell ref="G37:G38"/>
    <mergeCell ref="C91:C92"/>
    <mergeCell ref="D91:D92"/>
    <mergeCell ref="E91:E92"/>
    <mergeCell ref="F91:F92"/>
    <mergeCell ref="G91:G92"/>
    <mergeCell ref="D80:D81"/>
    <mergeCell ref="C118:C119"/>
    <mergeCell ref="D118:D119"/>
    <mergeCell ref="E118:E119"/>
    <mergeCell ref="F118:F119"/>
    <mergeCell ref="G118:G119"/>
    <mergeCell ref="C112:C113"/>
    <mergeCell ref="F108:F109"/>
    <mergeCell ref="C110:C111"/>
    <mergeCell ref="D110:D111"/>
    <mergeCell ref="E124:E125"/>
    <mergeCell ref="F124:F125"/>
    <mergeCell ref="G124:G125"/>
    <mergeCell ref="C126:C127"/>
    <mergeCell ref="F130:F132"/>
    <mergeCell ref="G130:G132"/>
    <mergeCell ref="G120:G121"/>
    <mergeCell ref="C120:C121"/>
    <mergeCell ref="D120:D121"/>
    <mergeCell ref="E120:E121"/>
    <mergeCell ref="F120:F121"/>
    <mergeCell ref="H130:H131"/>
    <mergeCell ref="C122:C123"/>
    <mergeCell ref="D122:D123"/>
    <mergeCell ref="E122:E123"/>
    <mergeCell ref="F122:F123"/>
    <mergeCell ref="G122:G123"/>
    <mergeCell ref="G128:G129"/>
    <mergeCell ref="C130:C132"/>
    <mergeCell ref="D130:D132"/>
    <mergeCell ref="E130:E132"/>
    <mergeCell ref="C128:C129"/>
    <mergeCell ref="D128:D129"/>
    <mergeCell ref="E128:E129"/>
    <mergeCell ref="F128:F129"/>
    <mergeCell ref="C124:C125"/>
    <mergeCell ref="C116:C117"/>
    <mergeCell ref="D116:D117"/>
    <mergeCell ref="C115:D115"/>
    <mergeCell ref="D112:D113"/>
    <mergeCell ref="E112:E113"/>
    <mergeCell ref="D108:D109"/>
    <mergeCell ref="G108:G109"/>
    <mergeCell ref="G116:G117"/>
    <mergeCell ref="E116:E117"/>
    <mergeCell ref="F116:F117"/>
    <mergeCell ref="F112:F113"/>
    <mergeCell ref="G112:G113"/>
    <mergeCell ref="F110:F111"/>
    <mergeCell ref="E108:E109"/>
    <mergeCell ref="E110:E111"/>
    <mergeCell ref="G110:G111"/>
    <mergeCell ref="D102:D103"/>
    <mergeCell ref="E102:E103"/>
    <mergeCell ref="F102:F103"/>
    <mergeCell ref="G102:G103"/>
    <mergeCell ref="F104:F105"/>
    <mergeCell ref="G104:G105"/>
    <mergeCell ref="D106:D107"/>
    <mergeCell ref="E106:E107"/>
    <mergeCell ref="F106:F107"/>
    <mergeCell ref="G106:G107"/>
    <mergeCell ref="D104:D105"/>
    <mergeCell ref="E104:E105"/>
    <mergeCell ref="D98:D99"/>
    <mergeCell ref="E98:E99"/>
    <mergeCell ref="F98:F99"/>
    <mergeCell ref="G98:G99"/>
    <mergeCell ref="C96:C97"/>
    <mergeCell ref="D100:D101"/>
    <mergeCell ref="E100:E101"/>
    <mergeCell ref="F100:F101"/>
    <mergeCell ref="G100:G101"/>
    <mergeCell ref="D96:D97"/>
    <mergeCell ref="C94:C95"/>
    <mergeCell ref="D94:D95"/>
    <mergeCell ref="E94:E95"/>
    <mergeCell ref="F94:F95"/>
    <mergeCell ref="G94:G95"/>
    <mergeCell ref="C88:C89"/>
    <mergeCell ref="F88:F89"/>
    <mergeCell ref="G88:G89"/>
    <mergeCell ref="C83:C84"/>
    <mergeCell ref="D83:D84"/>
    <mergeCell ref="E83:E84"/>
    <mergeCell ref="F83:F84"/>
    <mergeCell ref="E85:E86"/>
    <mergeCell ref="C85:C86"/>
    <mergeCell ref="G83:G84"/>
    <mergeCell ref="D88:D89"/>
    <mergeCell ref="E88:E89"/>
    <mergeCell ref="D85:D86"/>
    <mergeCell ref="G85:G86"/>
    <mergeCell ref="F85:F86"/>
    <mergeCell ref="E80:E81"/>
    <mergeCell ref="F80:F81"/>
    <mergeCell ref="G80:G81"/>
    <mergeCell ref="C76:C77"/>
    <mergeCell ref="D76:D77"/>
    <mergeCell ref="E76:E77"/>
    <mergeCell ref="F76:F77"/>
    <mergeCell ref="G76:G77"/>
    <mergeCell ref="C78:D78"/>
    <mergeCell ref="C80:C81"/>
    <mergeCell ref="G71:G72"/>
    <mergeCell ref="C73:C74"/>
    <mergeCell ref="D73:D74"/>
    <mergeCell ref="E73:E74"/>
    <mergeCell ref="F73:F74"/>
    <mergeCell ref="G73:G74"/>
    <mergeCell ref="E71:E72"/>
    <mergeCell ref="F71:F72"/>
    <mergeCell ref="D71:D72"/>
    <mergeCell ref="C71:C72"/>
    <mergeCell ref="C61:C62"/>
    <mergeCell ref="D61:D62"/>
    <mergeCell ref="E61:E62"/>
    <mergeCell ref="F61:F62"/>
    <mergeCell ref="G61:G62"/>
    <mergeCell ref="C64:C65"/>
    <mergeCell ref="D64:D65"/>
    <mergeCell ref="E64:E65"/>
    <mergeCell ref="F64:F65"/>
    <mergeCell ref="G64:G65"/>
    <mergeCell ref="C55:C56"/>
    <mergeCell ref="D55:D56"/>
    <mergeCell ref="E55:E56"/>
    <mergeCell ref="F55:F56"/>
    <mergeCell ref="G55:G56"/>
    <mergeCell ref="C59:C60"/>
    <mergeCell ref="D59:D60"/>
    <mergeCell ref="E59:E60"/>
    <mergeCell ref="F59:F60"/>
    <mergeCell ref="G59:G60"/>
    <mergeCell ref="C48:C49"/>
    <mergeCell ref="D48:D49"/>
    <mergeCell ref="E48:E49"/>
    <mergeCell ref="F48:F49"/>
    <mergeCell ref="G48:G49"/>
    <mergeCell ref="C46:C47"/>
    <mergeCell ref="D46:D47"/>
    <mergeCell ref="E46:E47"/>
    <mergeCell ref="F46:F47"/>
    <mergeCell ref="G46:G47"/>
    <mergeCell ref="C53:C54"/>
    <mergeCell ref="D53:D54"/>
    <mergeCell ref="E53:E54"/>
    <mergeCell ref="F53:F54"/>
    <mergeCell ref="G53:G54"/>
    <mergeCell ref="C50:C51"/>
    <mergeCell ref="D50:D51"/>
    <mergeCell ref="E50:E51"/>
    <mergeCell ref="F50:F51"/>
    <mergeCell ref="G50:G51"/>
    <mergeCell ref="C44:C45"/>
    <mergeCell ref="D44:D45"/>
    <mergeCell ref="E44:E45"/>
    <mergeCell ref="F44:F45"/>
    <mergeCell ref="G44:G45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  <mergeCell ref="C42:C43"/>
    <mergeCell ref="D42:D43"/>
    <mergeCell ref="E42:E43"/>
    <mergeCell ref="F42:F43"/>
    <mergeCell ref="G42:G43"/>
    <mergeCell ref="G40:G41"/>
    <mergeCell ref="G21:G22"/>
    <mergeCell ref="H1:M1"/>
    <mergeCell ref="D2:I2"/>
    <mergeCell ref="D3:I3"/>
    <mergeCell ref="H4:N4"/>
    <mergeCell ref="G9:G10"/>
    <mergeCell ref="G14:G15"/>
    <mergeCell ref="D6:D7"/>
    <mergeCell ref="E6:E7"/>
    <mergeCell ref="G11:G12"/>
    <mergeCell ref="E21:E22"/>
    <mergeCell ref="F21:F22"/>
    <mergeCell ref="D21:D22"/>
    <mergeCell ref="F9:F10"/>
    <mergeCell ref="G17:G18"/>
    <mergeCell ref="C6:C7"/>
    <mergeCell ref="C14:C15"/>
    <mergeCell ref="D14:D15"/>
    <mergeCell ref="E14:E15"/>
    <mergeCell ref="F14:F15"/>
    <mergeCell ref="G6:G7"/>
    <mergeCell ref="D11:D12"/>
    <mergeCell ref="E9:E10"/>
    <mergeCell ref="F6:F7"/>
    <mergeCell ref="E11:E12"/>
    <mergeCell ref="C11:C12"/>
    <mergeCell ref="C17:C18"/>
    <mergeCell ref="D17:D18"/>
    <mergeCell ref="E17:E18"/>
    <mergeCell ref="F17:F18"/>
    <mergeCell ref="F11:F12"/>
    <mergeCell ref="C21:C22"/>
    <mergeCell ref="C19:C20"/>
    <mergeCell ref="D19:D20"/>
    <mergeCell ref="E19:E20"/>
    <mergeCell ref="F19:F20"/>
    <mergeCell ref="G19:G20"/>
    <mergeCell ref="G68:G69"/>
    <mergeCell ref="C9:C10"/>
    <mergeCell ref="D9:D10"/>
    <mergeCell ref="J130:K130"/>
    <mergeCell ref="L5:O5"/>
    <mergeCell ref="H5:K5"/>
    <mergeCell ref="L67:M67"/>
    <mergeCell ref="D68:D69"/>
    <mergeCell ref="E68:E69"/>
    <mergeCell ref="F68:F69"/>
    <mergeCell ref="X82:Y82"/>
    <mergeCell ref="H13:K13"/>
    <mergeCell ref="H67:K67"/>
    <mergeCell ref="K79:M79"/>
    <mergeCell ref="K63:L63"/>
    <mergeCell ref="K36:P36"/>
    <mergeCell ref="L24:O24"/>
    <mergeCell ref="N75:S75"/>
    <mergeCell ref="W32:W33"/>
    <mergeCell ref="H79:J79"/>
    <mergeCell ref="H75:M75"/>
    <mergeCell ref="H32:N32"/>
    <mergeCell ref="Q36:W36"/>
    <mergeCell ref="O32:V32"/>
    <mergeCell ref="T75:V75"/>
    <mergeCell ref="Q50:R51"/>
    <mergeCell ref="N67:O67"/>
    <mergeCell ref="S63:Y63"/>
    <mergeCell ref="AL93:AL94"/>
    <mergeCell ref="BD90:BD91"/>
    <mergeCell ref="C106:C107"/>
    <mergeCell ref="C108:C109"/>
    <mergeCell ref="C102:C103"/>
    <mergeCell ref="C104:C105"/>
    <mergeCell ref="C100:C101"/>
    <mergeCell ref="C98:C99"/>
    <mergeCell ref="P90:U90"/>
    <mergeCell ref="H90:O90"/>
    <mergeCell ref="Z63:AC63"/>
    <mergeCell ref="AD63:AG63"/>
    <mergeCell ref="M63:R63"/>
    <mergeCell ref="U66:V66"/>
    <mergeCell ref="S66:T66"/>
    <mergeCell ref="E96:E97"/>
    <mergeCell ref="F96:F97"/>
    <mergeCell ref="G96:G97"/>
    <mergeCell ref="C67:E67"/>
    <mergeCell ref="C68:C69"/>
  </mergeCells>
  <conditionalFormatting sqref="G44:G45 G48:G93 G5:G32 G98:G111 G40:G41 G35:G37 Y95 G114:G129 W96:W97">
    <cfRule type="containsText" dxfId="620" priority="232" stopIfTrue="1" operator="containsText" text="ПОМИЛКА">
      <formula>NOT(ISERROR(SEARCH("ПОМИЛКА",G5)))</formula>
    </cfRule>
    <cfRule type="containsText" dxfId="619" priority="233" stopIfTrue="1" operator="containsText" text="Увага">
      <formula>NOT(ISERROR(SEARCH("Увага",G5)))</formula>
    </cfRule>
    <cfRule type="containsText" dxfId="618" priority="234" stopIfTrue="1" operator="containsText" text="ПРАВДА">
      <formula>NOT(ISERROR(SEARCH("ПРАВДА",G5)))</formula>
    </cfRule>
  </conditionalFormatting>
  <conditionalFormatting sqref="Q72 V72 P77 T72 K12">
    <cfRule type="cellIs" dxfId="617" priority="231" stopIfTrue="1" operator="lessThan">
      <formula>0</formula>
    </cfRule>
  </conditionalFormatting>
  <conditionalFormatting sqref="N84">
    <cfRule type="containsText" dxfId="616" priority="228" stopIfTrue="1" operator="containsText" text="ПОМИЛКА">
      <formula>NOT(ISERROR(SEARCH("ПОМИЛКА",N84)))</formula>
    </cfRule>
    <cfRule type="containsText" dxfId="615" priority="229" stopIfTrue="1" operator="containsText" text="Увага">
      <formula>NOT(ISERROR(SEARCH("Увага",N84)))</formula>
    </cfRule>
    <cfRule type="containsText" dxfId="614" priority="230" stopIfTrue="1" operator="containsText" text="ПРАВДА">
      <formula>NOT(ISERROR(SEARCH("ПРАВДА",N84)))</formula>
    </cfRule>
  </conditionalFormatting>
  <conditionalFormatting sqref="O84:Q84">
    <cfRule type="containsText" dxfId="613" priority="225" stopIfTrue="1" operator="containsText" text="ПОМИЛКА">
      <formula>NOT(ISERROR(SEARCH("ПОМИЛКА",O84)))</formula>
    </cfRule>
    <cfRule type="containsText" dxfId="612" priority="226" stopIfTrue="1" operator="containsText" text="Увага">
      <formula>NOT(ISERROR(SEARCH("Увага",O84)))</formula>
    </cfRule>
    <cfRule type="containsText" dxfId="611" priority="227" stopIfTrue="1" operator="containsText" text="ПРАВДА">
      <formula>NOT(ISERROR(SEARCH("ПРАВДА",O84)))</formula>
    </cfRule>
  </conditionalFormatting>
  <conditionalFormatting sqref="N89:P89">
    <cfRule type="containsText" dxfId="610" priority="222" stopIfTrue="1" operator="containsText" text="ПОМИЛКА">
      <formula>NOT(ISERROR(SEARCH("ПОМИЛКА",N89)))</formula>
    </cfRule>
    <cfRule type="containsText" dxfId="609" priority="223" stopIfTrue="1" operator="containsText" text="Увага">
      <formula>NOT(ISERROR(SEARCH("Увага",N89)))</formula>
    </cfRule>
    <cfRule type="containsText" dxfId="608" priority="224" stopIfTrue="1" operator="containsText" text="ПРАВДА">
      <formula>NOT(ISERROR(SEARCH("ПРАВДА",N89)))</formula>
    </cfRule>
  </conditionalFormatting>
  <conditionalFormatting sqref="H111:I111">
    <cfRule type="containsText" dxfId="607" priority="219" stopIfTrue="1" operator="containsText" text="ПОМИЛКА">
      <formula>NOT(ISERROR(SEARCH("ПОМИЛКА",H111)))</formula>
    </cfRule>
    <cfRule type="containsText" dxfId="606" priority="220" stopIfTrue="1" operator="containsText" text="Увага">
      <formula>NOT(ISERROR(SEARCH("Увага",H111)))</formula>
    </cfRule>
    <cfRule type="containsText" dxfId="605" priority="221" stopIfTrue="1" operator="containsText" text="ПРАВДА">
      <formula>NOT(ISERROR(SEARCH("ПРАВДА",H111)))</formula>
    </cfRule>
  </conditionalFormatting>
  <conditionalFormatting sqref="H65:J65">
    <cfRule type="containsText" dxfId="604" priority="216" stopIfTrue="1" operator="containsText" text="ПОМИЛКА">
      <formula>NOT(ISERROR(SEARCH("ПОМИЛКА",H65)))</formula>
    </cfRule>
    <cfRule type="containsText" dxfId="603" priority="217" stopIfTrue="1" operator="containsText" text="Увага">
      <formula>NOT(ISERROR(SEARCH("Увага",H65)))</formula>
    </cfRule>
    <cfRule type="containsText" dxfId="602" priority="218" stopIfTrue="1" operator="containsText" text="ПРАВДА">
      <formula>NOT(ISERROR(SEARCH("ПРАВДА",H65)))</formula>
    </cfRule>
  </conditionalFormatting>
  <conditionalFormatting sqref="P18">
    <cfRule type="containsText" dxfId="601" priority="213" stopIfTrue="1" operator="containsText" text="ПОМИЛКА">
      <formula>NOT(ISERROR(SEARCH("ПОМИЛКА",P18)))</formula>
    </cfRule>
    <cfRule type="containsText" dxfId="600" priority="214" stopIfTrue="1" operator="containsText" text="Увага">
      <formula>NOT(ISERROR(SEARCH("Увага",P18)))</formula>
    </cfRule>
    <cfRule type="containsText" dxfId="599" priority="215" stopIfTrue="1" operator="containsText" text="ПРАВДА">
      <formula>NOT(ISERROR(SEARCH("ПРАВДА",P18)))</formula>
    </cfRule>
  </conditionalFormatting>
  <conditionalFormatting sqref="G112:G113">
    <cfRule type="containsText" dxfId="598" priority="210" stopIfTrue="1" operator="containsText" text="ПОМИЛКА">
      <formula>NOT(ISERROR(SEARCH("ПОМИЛКА",G112)))</formula>
    </cfRule>
    <cfRule type="containsText" dxfId="597" priority="211" stopIfTrue="1" operator="containsText" text="Увага">
      <formula>NOT(ISERROR(SEARCH("Увага",G112)))</formula>
    </cfRule>
    <cfRule type="containsText" dxfId="596" priority="212" stopIfTrue="1" operator="containsText" text="ПРАВДА">
      <formula>NOT(ISERROR(SEARCH("ПРАВДА",G112)))</formula>
    </cfRule>
  </conditionalFormatting>
  <conditionalFormatting sqref="J25">
    <cfRule type="containsText" dxfId="595" priority="207" stopIfTrue="1" operator="containsText" text="ПОМИЛКА">
      <formula>NOT(ISERROR(SEARCH("ПОМИЛКА",J25)))</formula>
    </cfRule>
    <cfRule type="containsText" dxfId="594" priority="208" stopIfTrue="1" operator="containsText" text="Увага">
      <formula>NOT(ISERROR(SEARCH("Увага",J25)))</formula>
    </cfRule>
    <cfRule type="containsText" dxfId="593" priority="209" stopIfTrue="1" operator="containsText" text="ПРАВДА">
      <formula>NOT(ISERROR(SEARCH("ПРАВДА",J25)))</formula>
    </cfRule>
  </conditionalFormatting>
  <conditionalFormatting sqref="K25">
    <cfRule type="containsText" dxfId="592" priority="204" stopIfTrue="1" operator="containsText" text="ПОМИЛКА">
      <formula>NOT(ISERROR(SEARCH("ПОМИЛКА",K25)))</formula>
    </cfRule>
    <cfRule type="containsText" dxfId="591" priority="205" stopIfTrue="1" operator="containsText" text="Увага">
      <formula>NOT(ISERROR(SEARCH("Увага",K25)))</formula>
    </cfRule>
    <cfRule type="containsText" dxfId="590" priority="206" stopIfTrue="1" operator="containsText" text="ПРАВДА">
      <formula>NOT(ISERROR(SEARCH("ПРАВДА",K25)))</formula>
    </cfRule>
  </conditionalFormatting>
  <conditionalFormatting sqref="S77:S78">
    <cfRule type="containsText" dxfId="589" priority="200" stopIfTrue="1" operator="containsText" text="ПОМИЛКА">
      <formula>NOT(ISERROR(SEARCH("ПОМИЛКА",S77)))</formula>
    </cfRule>
    <cfRule type="containsText" dxfId="588" priority="201" stopIfTrue="1" operator="containsText" text="Увага">
      <formula>NOT(ISERROR(SEARCH("Увага",S77)))</formula>
    </cfRule>
    <cfRule type="containsText" dxfId="587" priority="202" stopIfTrue="1" operator="containsText" text="ПРАВДА">
      <formula>NOT(ISERROR(SEARCH("ПРАВДА",S77)))</formula>
    </cfRule>
  </conditionalFormatting>
  <conditionalFormatting sqref="Z65:AG65">
    <cfRule type="cellIs" dxfId="586" priority="199" stopIfTrue="1" operator="lessThan">
      <formula>0</formula>
    </cfRule>
  </conditionalFormatting>
  <conditionalFormatting sqref="K41">
    <cfRule type="containsText" dxfId="585" priority="181" stopIfTrue="1" operator="containsText" text="ПОМИЛКА">
      <formula>NOT(ISERROR(SEARCH("ПОМИЛКА",K41)))</formula>
    </cfRule>
    <cfRule type="containsText" dxfId="584" priority="182" stopIfTrue="1" operator="containsText" text="Увага">
      <formula>NOT(ISERROR(SEARCH("Увага",K41)))</formula>
    </cfRule>
    <cfRule type="containsText" dxfId="583" priority="183" stopIfTrue="1" operator="containsText" text="ПРАВДА">
      <formula>NOT(ISERROR(SEARCH("ПРАВДА",K41)))</formula>
    </cfRule>
  </conditionalFormatting>
  <conditionalFormatting sqref="J41">
    <cfRule type="containsText" dxfId="582" priority="184" stopIfTrue="1" operator="containsText" text="ПОМИЛКА">
      <formula>NOT(ISERROR(SEARCH("ПОМИЛКА",J41)))</formula>
    </cfRule>
    <cfRule type="containsText" dxfId="581" priority="185" stopIfTrue="1" operator="containsText" text="Увага">
      <formula>NOT(ISERROR(SEARCH("Увага",J41)))</formula>
    </cfRule>
    <cfRule type="containsText" dxfId="580" priority="186" stopIfTrue="1" operator="containsText" text="ПРАВДА">
      <formula>NOT(ISERROR(SEARCH("ПРАВДА",J41)))</formula>
    </cfRule>
  </conditionalFormatting>
  <conditionalFormatting sqref="H56:I56">
    <cfRule type="containsText" dxfId="579" priority="178" stopIfTrue="1" operator="containsText" text="ПОМИЛКА">
      <formula>NOT(ISERROR(SEARCH("ПОМИЛКА",H56)))</formula>
    </cfRule>
    <cfRule type="containsText" dxfId="578" priority="179" stopIfTrue="1" operator="containsText" text="Увага">
      <formula>NOT(ISERROR(SEARCH("Увага",H56)))</formula>
    </cfRule>
    <cfRule type="containsText" dxfId="577" priority="180" stopIfTrue="1" operator="containsText" text="ПРАВДА">
      <formula>NOT(ISERROR(SEARCH("ПРАВДА",H56)))</formula>
    </cfRule>
  </conditionalFormatting>
  <conditionalFormatting sqref="G42:G43">
    <cfRule type="containsText" dxfId="576" priority="175" stopIfTrue="1" operator="containsText" text="ПОМИЛКА">
      <formula>NOT(ISERROR(SEARCH("ПОМИЛКА",G42)))</formula>
    </cfRule>
    <cfRule type="containsText" dxfId="575" priority="176" stopIfTrue="1" operator="containsText" text="Увага">
      <formula>NOT(ISERROR(SEARCH("Увага",G42)))</formula>
    </cfRule>
    <cfRule type="containsText" dxfId="574" priority="177" stopIfTrue="1" operator="containsText" text="ПРАВДА">
      <formula>NOT(ISERROR(SEARCH("ПРАВДА",G42)))</formula>
    </cfRule>
  </conditionalFormatting>
  <conditionalFormatting sqref="G46:G47">
    <cfRule type="containsText" dxfId="573" priority="172" stopIfTrue="1" operator="containsText" text="ПОМИЛКА">
      <formula>NOT(ISERROR(SEARCH("ПОМИЛКА",G46)))</formula>
    </cfRule>
    <cfRule type="containsText" dxfId="572" priority="173" stopIfTrue="1" operator="containsText" text="Увага">
      <formula>NOT(ISERROR(SEARCH("Увага",G46)))</formula>
    </cfRule>
    <cfRule type="containsText" dxfId="571" priority="174" stopIfTrue="1" operator="containsText" text="ПРАВДА">
      <formula>NOT(ISERROR(SEARCH("ПРАВДА",G46)))</formula>
    </cfRule>
  </conditionalFormatting>
  <conditionalFormatting sqref="K65">
    <cfRule type="containsText" dxfId="570" priority="169" stopIfTrue="1" operator="containsText" text="ПОМИЛКА">
      <formula>NOT(ISERROR(SEARCH("ПОМИЛКА",K65)))</formula>
    </cfRule>
    <cfRule type="containsText" dxfId="569" priority="170" stopIfTrue="1" operator="containsText" text="Увага">
      <formula>NOT(ISERROR(SEARCH("Увага",K65)))</formula>
    </cfRule>
    <cfRule type="containsText" dxfId="568" priority="171" stopIfTrue="1" operator="containsText" text="ПРАВДА">
      <formula>NOT(ISERROR(SEARCH("ПРАВДА",K65)))</formula>
    </cfRule>
  </conditionalFormatting>
  <conditionalFormatting sqref="L65">
    <cfRule type="containsText" dxfId="567" priority="166" stopIfTrue="1" operator="containsText" text="ПОМИЛКА">
      <formula>NOT(ISERROR(SEARCH("ПОМИЛКА",L65)))</formula>
    </cfRule>
    <cfRule type="containsText" dxfId="566" priority="167" stopIfTrue="1" operator="containsText" text="Увага">
      <formula>NOT(ISERROR(SEARCH("Увага",L65)))</formula>
    </cfRule>
    <cfRule type="containsText" dxfId="565" priority="168" stopIfTrue="1" operator="containsText" text="ПРАВДА">
      <formula>NOT(ISERROR(SEARCH("ПРАВДА",L65)))</formula>
    </cfRule>
  </conditionalFormatting>
  <conditionalFormatting sqref="K2">
    <cfRule type="containsText" dxfId="564" priority="37" stopIfTrue="1" operator="containsText" text="Зелена">
      <formula>NOT(ISERROR(SEARCH("Зелена",K2)))</formula>
    </cfRule>
    <cfRule type="containsText" dxfId="563" priority="38" stopIfTrue="1" operator="containsText" text="Синя">
      <formula>NOT(ISERROR(SEARCH("Синя",K2)))</formula>
    </cfRule>
    <cfRule type="containsText" dxfId="562" priority="39" stopIfTrue="1" operator="containsText" text="Жовта">
      <formula>NOT(ISERROR(SEARCH("Жовта",K2)))</formula>
    </cfRule>
    <cfRule type="containsText" dxfId="426" priority="40" stopIfTrue="1" operator="containsText" text="Червона">
      <formula>NOT(ISERROR(SEARCH("Червона",K2)))</formula>
    </cfRule>
    <cfRule type="containsText" dxfId="425" priority="162" stopIfTrue="1" operator="containsText" text="Зелена">
      <formula>NOT(ISERROR(SEARCH("Зелена",K2)))</formula>
    </cfRule>
    <cfRule type="containsText" dxfId="424" priority="163" stopIfTrue="1" operator="containsText" text="Синя">
      <formula>NOT(ISERROR(SEARCH("Синя",K2)))</formula>
    </cfRule>
    <cfRule type="containsText" dxfId="423" priority="164" stopIfTrue="1" operator="containsText" text="Жовта">
      <formula>NOT(ISERROR(SEARCH("Жовта",K2)))</formula>
    </cfRule>
    <cfRule type="containsText" dxfId="422" priority="165" stopIfTrue="1" operator="containsText" text="Червона">
      <formula>NOT(ISERROR(SEARCH("Червона",K2)))</formula>
    </cfRule>
  </conditionalFormatting>
  <conditionalFormatting sqref="I25">
    <cfRule type="containsText" dxfId="561" priority="159" stopIfTrue="1" operator="containsText" text="ПОМИЛКА">
      <formula>NOT(ISERROR(SEARCH("ПОМИЛКА",I25)))</formula>
    </cfRule>
    <cfRule type="containsText" dxfId="560" priority="160" stopIfTrue="1" operator="containsText" text="Увага">
      <formula>NOT(ISERROR(SEARCH("Увага",I25)))</formula>
    </cfRule>
    <cfRule type="containsText" dxfId="559" priority="161" stopIfTrue="1" operator="containsText" text="ПРАВДА">
      <formula>NOT(ISERROR(SEARCH("ПРАВДА",I25)))</formula>
    </cfRule>
  </conditionalFormatting>
  <conditionalFormatting sqref="G94:G97">
    <cfRule type="containsText" dxfId="558" priority="156" stopIfTrue="1" operator="containsText" text="ПОМИЛКА">
      <formula>NOT(ISERROR(SEARCH("ПОМИЛКА",G94)))</formula>
    </cfRule>
    <cfRule type="containsText" dxfId="557" priority="157" stopIfTrue="1" operator="containsText" text="Увага">
      <formula>NOT(ISERROR(SEARCH("Увага",G94)))</formula>
    </cfRule>
    <cfRule type="containsText" dxfId="556" priority="158" stopIfTrue="1" operator="containsText" text="ПРАВДА">
      <formula>NOT(ISERROR(SEARCH("ПРАВДА",G94)))</formula>
    </cfRule>
  </conditionalFormatting>
  <conditionalFormatting sqref="Q89">
    <cfRule type="containsText" dxfId="555" priority="153" stopIfTrue="1" operator="containsText" text="ПОМИЛКА">
      <formula>NOT(ISERROR(SEARCH("ПОМИЛКА",Q89)))</formula>
    </cfRule>
    <cfRule type="containsText" dxfId="554" priority="154" stopIfTrue="1" operator="containsText" text="Увага">
      <formula>NOT(ISERROR(SEARCH("Увага",Q89)))</formula>
    </cfRule>
    <cfRule type="containsText" dxfId="553" priority="155" stopIfTrue="1" operator="containsText" text="ПРАВДА">
      <formula>NOT(ISERROR(SEARCH("ПРАВДА",Q89)))</formula>
    </cfRule>
  </conditionalFormatting>
  <conditionalFormatting sqref="R89">
    <cfRule type="containsText" dxfId="552" priority="150" stopIfTrue="1" operator="containsText" text="ПОМИЛКА">
      <formula>NOT(ISERROR(SEARCH("ПОМИЛКА",R89)))</formula>
    </cfRule>
    <cfRule type="containsText" dxfId="551" priority="151" stopIfTrue="1" operator="containsText" text="Увага">
      <formula>NOT(ISERROR(SEARCH("Увага",R89)))</formula>
    </cfRule>
    <cfRule type="containsText" dxfId="550" priority="152" stopIfTrue="1" operator="containsText" text="ПРАВДА">
      <formula>NOT(ISERROR(SEARCH("ПРАВДА",R89)))</formula>
    </cfRule>
  </conditionalFormatting>
  <conditionalFormatting sqref="T77:V77">
    <cfRule type="cellIs" dxfId="549" priority="149" operator="lessThan">
      <formula>0</formula>
    </cfRule>
  </conditionalFormatting>
  <conditionalFormatting sqref="G33:G34">
    <cfRule type="containsText" dxfId="548" priority="146" stopIfTrue="1" operator="containsText" text="ПОМИЛКА">
      <formula>NOT(ISERROR(SEARCH("ПОМИЛКА",G33)))</formula>
    </cfRule>
    <cfRule type="containsText" dxfId="547" priority="147" stopIfTrue="1" operator="containsText" text="Увага">
      <formula>NOT(ISERROR(SEARCH("Увага",G33)))</formula>
    </cfRule>
    <cfRule type="containsText" dxfId="546" priority="148" stopIfTrue="1" operator="containsText" text="ПРАВДА">
      <formula>NOT(ISERROR(SEARCH("ПРАВДА",G33)))</formula>
    </cfRule>
  </conditionalFormatting>
  <conditionalFormatting sqref="O25">
    <cfRule type="containsText" dxfId="545" priority="128" stopIfTrue="1" operator="containsText" text="ПОМИЛКА">
      <formula>NOT(ISERROR(SEARCH("ПОМИЛКА",O25)))</formula>
    </cfRule>
    <cfRule type="containsText" dxfId="544" priority="129" stopIfTrue="1" operator="containsText" text="Увага">
      <formula>NOT(ISERROR(SEARCH("Увага",O25)))</formula>
    </cfRule>
    <cfRule type="containsText" dxfId="543" priority="130" stopIfTrue="1" operator="containsText" text="ПРАВДА">
      <formula>NOT(ISERROR(SEARCH("ПРАВДА",O25)))</formula>
    </cfRule>
  </conditionalFormatting>
  <conditionalFormatting sqref="BB92">
    <cfRule type="containsText" dxfId="542" priority="122" stopIfTrue="1" operator="containsText" text="ПОМИЛКА">
      <formula>NOT(ISERROR(SEARCH("ПОМИЛКА",BB92)))</formula>
    </cfRule>
    <cfRule type="containsText" dxfId="541" priority="123" stopIfTrue="1" operator="containsText" text="Увага">
      <formula>NOT(ISERROR(SEARCH("Увага",BB92)))</formula>
    </cfRule>
    <cfRule type="containsText" dxfId="540" priority="124" stopIfTrue="1" operator="containsText" text="ПРАВДА">
      <formula>NOT(ISERROR(SEARCH("ПРАВДА",BB92)))</formula>
    </cfRule>
  </conditionalFormatting>
  <conditionalFormatting sqref="AE95">
    <cfRule type="containsText" dxfId="539" priority="119" stopIfTrue="1" operator="containsText" text="ПОМИЛКА">
      <formula>NOT(ISERROR(SEARCH("ПОМИЛКА",AE95)))</formula>
    </cfRule>
    <cfRule type="containsText" dxfId="538" priority="120" stopIfTrue="1" operator="containsText" text="Увага">
      <formula>NOT(ISERROR(SEARCH("Увага",AE95)))</formula>
    </cfRule>
    <cfRule type="containsText" dxfId="537" priority="121" stopIfTrue="1" operator="containsText" text="ПРАВДА">
      <formula>NOT(ISERROR(SEARCH("ПРАВДА",AE95)))</formula>
    </cfRule>
  </conditionalFormatting>
  <conditionalFormatting sqref="P38">
    <cfRule type="containsText" dxfId="536" priority="115" stopIfTrue="1" operator="containsText" text="ПОМИЛКА">
      <formula>NOT(ISERROR(SEARCH("ПОМИЛКА",P38)))</formula>
    </cfRule>
    <cfRule type="containsText" dxfId="535" priority="116" stopIfTrue="1" operator="containsText" text="Увага">
      <formula>NOT(ISERROR(SEARCH("Увага",P38)))</formula>
    </cfRule>
    <cfRule type="containsText" dxfId="534" priority="117" stopIfTrue="1" operator="containsText" text="ПРАВДА">
      <formula>NOT(ISERROR(SEARCH("ПРАВДА",P38)))</formula>
    </cfRule>
  </conditionalFormatting>
  <conditionalFormatting sqref="W38">
    <cfRule type="containsText" dxfId="533" priority="112" stopIfTrue="1" operator="containsText" text="ПОМИЛКА">
      <formula>NOT(ISERROR(SEARCH("ПОМИЛКА",W38)))</formula>
    </cfRule>
    <cfRule type="containsText" dxfId="532" priority="113" stopIfTrue="1" operator="containsText" text="Увага">
      <formula>NOT(ISERROR(SEARCH("Увага",W38)))</formula>
    </cfRule>
    <cfRule type="containsText" dxfId="531" priority="114" stopIfTrue="1" operator="containsText" text="ПРАВДА">
      <formula>NOT(ISERROR(SEARCH("ПРАВДА",W38)))</formula>
    </cfRule>
  </conditionalFormatting>
  <conditionalFormatting sqref="R65">
    <cfRule type="containsText" dxfId="530" priority="106" stopIfTrue="1" operator="containsText" text="ПОМИЛКА">
      <formula>NOT(ISERROR(SEARCH("ПОМИЛКА",R65)))</formula>
    </cfRule>
    <cfRule type="containsText" dxfId="529" priority="107" stopIfTrue="1" operator="containsText" text="Увага">
      <formula>NOT(ISERROR(SEARCH("Увага",R65)))</formula>
    </cfRule>
    <cfRule type="containsText" dxfId="528" priority="108" stopIfTrue="1" operator="containsText" text="ПРАВДА">
      <formula>NOT(ISERROR(SEARCH("ПРАВДА",R65)))</formula>
    </cfRule>
  </conditionalFormatting>
  <conditionalFormatting sqref="Y65">
    <cfRule type="containsText" dxfId="527" priority="103" stopIfTrue="1" operator="containsText" text="ПОМИЛКА">
      <formula>NOT(ISERROR(SEARCH("ПОМИЛКА",Y65)))</formula>
    </cfRule>
    <cfRule type="containsText" dxfId="526" priority="104" stopIfTrue="1" operator="containsText" text="Увага">
      <formula>NOT(ISERROR(SEARCH("Увага",Y65)))</formula>
    </cfRule>
    <cfRule type="containsText" dxfId="525" priority="105" stopIfTrue="1" operator="containsText" text="ПРАВДА">
      <formula>NOT(ISERROR(SEARCH("ПРАВДА",Y65)))</formula>
    </cfRule>
  </conditionalFormatting>
  <conditionalFormatting sqref="W61">
    <cfRule type="containsText" dxfId="524" priority="100" stopIfTrue="1" operator="containsText" text="ПОМИЛКА">
      <formula>NOT(ISERROR(SEARCH("ПОМИЛКА",W61)))</formula>
    </cfRule>
    <cfRule type="containsText" dxfId="523" priority="101" stopIfTrue="1" operator="containsText" text="Увага">
      <formula>NOT(ISERROR(SEARCH("Увага",W61)))</formula>
    </cfRule>
    <cfRule type="containsText" dxfId="522" priority="102" stopIfTrue="1" operator="containsText" text="ПРАВДА">
      <formula>NOT(ISERROR(SEARCH("ПРАВДА",W61)))</formula>
    </cfRule>
  </conditionalFormatting>
  <conditionalFormatting sqref="W62">
    <cfRule type="containsText" dxfId="521" priority="97" stopIfTrue="1" operator="containsText" text="ПОМИЛКА">
      <formula>NOT(ISERROR(SEARCH("ПОМИЛКА",W62)))</formula>
    </cfRule>
    <cfRule type="containsText" dxfId="520" priority="98" stopIfTrue="1" operator="containsText" text="Увага">
      <formula>NOT(ISERROR(SEARCH("Увага",W62)))</formula>
    </cfRule>
    <cfRule type="containsText" dxfId="519" priority="99" stopIfTrue="1" operator="containsText" text="ПРАВДА">
      <formula>NOT(ISERROR(SEARCH("ПРАВДА",W62)))</formula>
    </cfRule>
  </conditionalFormatting>
  <conditionalFormatting sqref="AX89">
    <cfRule type="containsText" dxfId="518" priority="94" stopIfTrue="1" operator="containsText" text="ПОМИЛКА">
      <formula>NOT(ISERROR(SEARCH("ПОМИЛКА",AX89)))</formula>
    </cfRule>
    <cfRule type="containsText" dxfId="517" priority="95" stopIfTrue="1" operator="containsText" text="Увага">
      <formula>NOT(ISERROR(SEARCH("Увага",AX89)))</formula>
    </cfRule>
    <cfRule type="containsText" dxfId="516" priority="96" stopIfTrue="1" operator="containsText" text="ПРАВДА">
      <formula>NOT(ISERROR(SEARCH("ПРАВДА",AX89)))</formula>
    </cfRule>
  </conditionalFormatting>
  <conditionalFormatting sqref="Q34">
    <cfRule type="containsText" dxfId="515" priority="91" stopIfTrue="1" operator="containsText" text="ПОМИЛКА">
      <formula>NOT(ISERROR(SEARCH("ПОМИЛКА",Q34)))</formula>
    </cfRule>
    <cfRule type="containsText" dxfId="514" priority="92" stopIfTrue="1" operator="containsText" text="Увага">
      <formula>NOT(ISERROR(SEARCH("Увага",Q34)))</formula>
    </cfRule>
    <cfRule type="containsText" dxfId="513" priority="93" stopIfTrue="1" operator="containsText" text="ПРАВДА">
      <formula>NOT(ISERROR(SEARCH("ПРАВДА",Q34)))</formula>
    </cfRule>
  </conditionalFormatting>
  <conditionalFormatting sqref="AL89">
    <cfRule type="containsText" dxfId="512" priority="88" stopIfTrue="1" operator="containsText" text="ПОМИЛКА">
      <formula>NOT(ISERROR(SEARCH("ПОМИЛКА",AL89)))</formula>
    </cfRule>
    <cfRule type="containsText" dxfId="511" priority="89" stopIfTrue="1" operator="containsText" text="Увага">
      <formula>NOT(ISERROR(SEARCH("Увага",AL89)))</formula>
    </cfRule>
    <cfRule type="containsText" dxfId="510" priority="90" stopIfTrue="1" operator="containsText" text="ПРАВДА">
      <formula>NOT(ISERROR(SEARCH("ПРАВДА",AL89)))</formula>
    </cfRule>
  </conditionalFormatting>
  <conditionalFormatting sqref="AR89">
    <cfRule type="containsText" dxfId="509" priority="85" stopIfTrue="1" operator="containsText" text="ПОМИЛКА">
      <formula>NOT(ISERROR(SEARCH("ПОМИЛКА",AR89)))</formula>
    </cfRule>
    <cfRule type="containsText" dxfId="508" priority="86" stopIfTrue="1" operator="containsText" text="Увага">
      <formula>NOT(ISERROR(SEARCH("Увага",AR89)))</formula>
    </cfRule>
    <cfRule type="containsText" dxfId="507" priority="87" stopIfTrue="1" operator="containsText" text="ПРАВДА">
      <formula>NOT(ISERROR(SEARCH("ПРАВДА",AR89)))</formula>
    </cfRule>
  </conditionalFormatting>
  <conditionalFormatting sqref="AK89">
    <cfRule type="containsText" dxfId="506" priority="82" stopIfTrue="1" operator="containsText" text="ПОМИЛКА">
      <formula>NOT(ISERROR(SEARCH("ПОМИЛКА",AK89)))</formula>
    </cfRule>
    <cfRule type="containsText" dxfId="505" priority="83" stopIfTrue="1" operator="containsText" text="Увага">
      <formula>NOT(ISERROR(SEARCH("Увага",AK89)))</formula>
    </cfRule>
    <cfRule type="containsText" dxfId="504" priority="84" stopIfTrue="1" operator="containsText" text="ПРАВДА">
      <formula>NOT(ISERROR(SEARCH("ПРАВДА",AK89)))</formula>
    </cfRule>
  </conditionalFormatting>
  <conditionalFormatting sqref="AC89">
    <cfRule type="containsText" dxfId="503" priority="79" stopIfTrue="1" operator="containsText" text="ПОМИЛКА">
      <formula>NOT(ISERROR(SEARCH("ПОМИЛКА",AC89)))</formula>
    </cfRule>
    <cfRule type="containsText" dxfId="502" priority="80" stopIfTrue="1" operator="containsText" text="Увага">
      <formula>NOT(ISERROR(SEARCH("Увага",AC89)))</formula>
    </cfRule>
    <cfRule type="containsText" dxfId="501" priority="81" stopIfTrue="1" operator="containsText" text="ПРАВДА">
      <formula>NOT(ISERROR(SEARCH("ПРАВДА",AC89)))</formula>
    </cfRule>
  </conditionalFormatting>
  <conditionalFormatting sqref="U89">
    <cfRule type="containsText" dxfId="500" priority="76" stopIfTrue="1" operator="containsText" text="ПОМИЛКА">
      <formula>NOT(ISERROR(SEARCH("ПОМИЛКА",U89)))</formula>
    </cfRule>
    <cfRule type="containsText" dxfId="499" priority="77" stopIfTrue="1" operator="containsText" text="Увага">
      <formula>NOT(ISERROR(SEARCH("Увага",U89)))</formula>
    </cfRule>
    <cfRule type="containsText" dxfId="498" priority="78" stopIfTrue="1" operator="containsText" text="ПРАВДА">
      <formula>NOT(ISERROR(SEARCH("ПРАВДА",U89)))</formula>
    </cfRule>
  </conditionalFormatting>
  <conditionalFormatting sqref="W66">
    <cfRule type="containsText" dxfId="497" priority="73" stopIfTrue="1" operator="containsText" text="ПОМИЛКА">
      <formula>NOT(ISERROR(SEARCH("ПОМИЛКА",W66)))</formula>
    </cfRule>
    <cfRule type="containsText" dxfId="496" priority="74" stopIfTrue="1" operator="containsText" text="Увага">
      <formula>NOT(ISERROR(SEARCH("Увага",W66)))</formula>
    </cfRule>
    <cfRule type="containsText" dxfId="495" priority="75" stopIfTrue="1" operator="containsText" text="ПРАВДА">
      <formula>NOT(ISERROR(SEARCH("ПРАВДА",W66)))</formula>
    </cfRule>
  </conditionalFormatting>
  <conditionalFormatting sqref="U66">
    <cfRule type="containsText" dxfId="494" priority="70" stopIfTrue="1" operator="containsText" text="ПОМИЛКА">
      <formula>NOT(ISERROR(SEARCH("ПОМИЛКА",U66)))</formula>
    </cfRule>
    <cfRule type="containsText" dxfId="493" priority="71" stopIfTrue="1" operator="containsText" text="Увага">
      <formula>NOT(ISERROR(SEARCH("Увага",U66)))</formula>
    </cfRule>
    <cfRule type="containsText" dxfId="492" priority="72" stopIfTrue="1" operator="containsText" text="ПРАВДА">
      <formula>NOT(ISERROR(SEARCH("ПРАВДА",U66)))</formula>
    </cfRule>
  </conditionalFormatting>
  <conditionalFormatting sqref="S66">
    <cfRule type="containsText" dxfId="491" priority="67" stopIfTrue="1" operator="containsText" text="ПОМИЛКА">
      <formula>NOT(ISERROR(SEARCH("ПОМИЛКА",S66)))</formula>
    </cfRule>
    <cfRule type="containsText" dxfId="490" priority="68" stopIfTrue="1" operator="containsText" text="Увага">
      <formula>NOT(ISERROR(SEARCH("Увага",S66)))</formula>
    </cfRule>
    <cfRule type="containsText" dxfId="489" priority="69" stopIfTrue="1" operator="containsText" text="ПРАВДА">
      <formula>NOT(ISERROR(SEARCH("ПРАВДА",S66)))</formula>
    </cfRule>
  </conditionalFormatting>
  <conditionalFormatting sqref="X66">
    <cfRule type="containsText" dxfId="488" priority="64" stopIfTrue="1" operator="containsText" text="ПОМИЛКА">
      <formula>NOT(ISERROR(SEARCH("ПОМИЛКА",X66)))</formula>
    </cfRule>
    <cfRule type="containsText" dxfId="487" priority="65" stopIfTrue="1" operator="containsText" text="Увага">
      <formula>NOT(ISERROR(SEARCH("Увага",X66)))</formula>
    </cfRule>
    <cfRule type="containsText" dxfId="486" priority="66" stopIfTrue="1" operator="containsText" text="ПРАВДА">
      <formula>NOT(ISERROR(SEARCH("ПРАВДА",X66)))</formula>
    </cfRule>
  </conditionalFormatting>
  <conditionalFormatting sqref="BC89">
    <cfRule type="containsText" dxfId="485" priority="61" stopIfTrue="1" operator="containsText" text="ПОМИЛКА">
      <formula>NOT(ISERROR(SEARCH("ПОМИЛКА",BC89)))</formula>
    </cfRule>
    <cfRule type="containsText" dxfId="484" priority="62" stopIfTrue="1" operator="containsText" text="Увага">
      <formula>NOT(ISERROR(SEARCH("Увага",BC89)))</formula>
    </cfRule>
    <cfRule type="containsText" dxfId="483" priority="63" stopIfTrue="1" operator="containsText" text="ПРАВДА">
      <formula>NOT(ISERROR(SEARCH("ПРАВДА",BC89)))</formula>
    </cfRule>
  </conditionalFormatting>
  <conditionalFormatting sqref="K95">
    <cfRule type="cellIs" dxfId="482" priority="60" stopIfTrue="1" operator="lessThan">
      <formula>0</formula>
    </cfRule>
  </conditionalFormatting>
  <conditionalFormatting sqref="K92">
    <cfRule type="cellIs" dxfId="481" priority="59" stopIfTrue="1" operator="lessThan">
      <formula>0</formula>
    </cfRule>
  </conditionalFormatting>
  <conditionalFormatting sqref="O92">
    <cfRule type="cellIs" dxfId="480" priority="58" stopIfTrue="1" operator="lessThan">
      <formula>0</formula>
    </cfRule>
  </conditionalFormatting>
  <conditionalFormatting sqref="O95">
    <cfRule type="cellIs" dxfId="479" priority="57" stopIfTrue="1" operator="lessThan">
      <formula>0</formula>
    </cfRule>
  </conditionalFormatting>
  <conditionalFormatting sqref="L97">
    <cfRule type="cellIs" dxfId="478" priority="56" stopIfTrue="1" operator="lessThan">
      <formula>0</formula>
    </cfRule>
  </conditionalFormatting>
  <conditionalFormatting sqref="R92">
    <cfRule type="cellIs" dxfId="477" priority="55" stopIfTrue="1" operator="lessThan">
      <formula>0</formula>
    </cfRule>
  </conditionalFormatting>
  <conditionalFormatting sqref="R95">
    <cfRule type="cellIs" dxfId="476" priority="54" stopIfTrue="1" operator="lessThan">
      <formula>0</formula>
    </cfRule>
  </conditionalFormatting>
  <conditionalFormatting sqref="U95">
    <cfRule type="cellIs" dxfId="475" priority="53" stopIfTrue="1" operator="lessThan">
      <formula>0</formula>
    </cfRule>
  </conditionalFormatting>
  <conditionalFormatting sqref="U92">
    <cfRule type="cellIs" dxfId="474" priority="52" stopIfTrue="1" operator="lessThan">
      <formula>0</formula>
    </cfRule>
  </conditionalFormatting>
  <conditionalFormatting sqref="Y92">
    <cfRule type="cellIs" dxfId="473" priority="51" stopIfTrue="1" operator="lessThan">
      <formula>0</formula>
    </cfRule>
  </conditionalFormatting>
  <conditionalFormatting sqref="Z95">
    <cfRule type="cellIs" dxfId="472" priority="50" stopIfTrue="1" operator="lessThan">
      <formula>0</formula>
    </cfRule>
  </conditionalFormatting>
  <conditionalFormatting sqref="AC92">
    <cfRule type="cellIs" dxfId="471" priority="49" stopIfTrue="1" operator="lessThan">
      <formula>0</formula>
    </cfRule>
  </conditionalFormatting>
  <conditionalFormatting sqref="AG92">
    <cfRule type="cellIs" dxfId="470" priority="48" stopIfTrue="1" operator="lessThan">
      <formula>0</formula>
    </cfRule>
  </conditionalFormatting>
  <conditionalFormatting sqref="AK92">
    <cfRule type="cellIs" dxfId="469" priority="47" stopIfTrue="1" operator="lessThan">
      <formula>0</formula>
    </cfRule>
  </conditionalFormatting>
  <conditionalFormatting sqref="AQ92">
    <cfRule type="cellIs" dxfId="468" priority="46" stopIfTrue="1" operator="lessThan">
      <formula>0</formula>
    </cfRule>
  </conditionalFormatting>
  <conditionalFormatting sqref="AR92">
    <cfRule type="cellIs" dxfId="467" priority="45" stopIfTrue="1" operator="lessThan">
      <formula>0</formula>
    </cfRule>
  </conditionalFormatting>
  <conditionalFormatting sqref="AJ95">
    <cfRule type="cellIs" dxfId="466" priority="44" stopIfTrue="1" operator="lessThan">
      <formula>0</formula>
    </cfRule>
  </conditionalFormatting>
  <conditionalFormatting sqref="AK95">
    <cfRule type="cellIs" dxfId="465" priority="43" stopIfTrue="1" operator="lessThan">
      <formula>0</formula>
    </cfRule>
  </conditionalFormatting>
  <conditionalFormatting sqref="AW92">
    <cfRule type="cellIs" dxfId="464" priority="42" stopIfTrue="1" operator="lessThan">
      <formula>0</formula>
    </cfRule>
  </conditionalFormatting>
  <conditionalFormatting sqref="AX92">
    <cfRule type="cellIs" dxfId="463" priority="41" stopIfTrue="1" operator="lessThan">
      <formula>0</formula>
    </cfRule>
  </conditionalFormatting>
  <conditionalFormatting sqref="W84">
    <cfRule type="containsText" dxfId="462" priority="34" stopIfTrue="1" operator="containsText" text="ПОМИЛКА">
      <formula>NOT(ISERROR(SEARCH("ПОМИЛКА",W84)))</formula>
    </cfRule>
    <cfRule type="containsText" dxfId="461" priority="35" stopIfTrue="1" operator="containsText" text="Увага">
      <formula>NOT(ISERROR(SEARCH("Увага",W84)))</formula>
    </cfRule>
    <cfRule type="containsText" dxfId="460" priority="36" stopIfTrue="1" operator="containsText" text="ПРАВДА">
      <formula>NOT(ISERROR(SEARCH("ПРАВДА",W84)))</formula>
    </cfRule>
  </conditionalFormatting>
  <conditionalFormatting sqref="G130">
    <cfRule type="containsText" dxfId="459" priority="31" stopIfTrue="1" operator="containsText" text="ПОМИЛКА">
      <formula>NOT(ISERROR(SEARCH("ПОМИЛКА",G130)))</formula>
    </cfRule>
    <cfRule type="containsText" dxfId="458" priority="32" stopIfTrue="1" operator="containsText" text="Увага">
      <formula>NOT(ISERROR(SEARCH("Увага",G130)))</formula>
    </cfRule>
    <cfRule type="containsText" dxfId="457" priority="33" stopIfTrue="1" operator="containsText" text="ПРАВДА">
      <formula>NOT(ISERROR(SEARCH("ПРАВДА",G130)))</formula>
    </cfRule>
  </conditionalFormatting>
  <conditionalFormatting sqref="N31">
    <cfRule type="containsText" dxfId="456" priority="28" stopIfTrue="1" operator="containsText" text="ПОМИЛКА">
      <formula>NOT(ISERROR(SEARCH("ПОМИЛКА",N31)))</formula>
    </cfRule>
    <cfRule type="containsText" dxfId="455" priority="29" stopIfTrue="1" operator="containsText" text="Увага">
      <formula>NOT(ISERROR(SEARCH("Увага",N31)))</formula>
    </cfRule>
    <cfRule type="containsText" dxfId="454" priority="30" stopIfTrue="1" operator="containsText" text="ПРАВДА">
      <formula>NOT(ISERROR(SEARCH("ПРАВДА",N31)))</formula>
    </cfRule>
  </conditionalFormatting>
  <conditionalFormatting sqref="V31">
    <cfRule type="containsText" dxfId="453" priority="25" stopIfTrue="1" operator="containsText" text="ПОМИЛКА">
      <formula>NOT(ISERROR(SEARCH("ПОМИЛКА",V31)))</formula>
    </cfRule>
    <cfRule type="containsText" dxfId="452" priority="26" stopIfTrue="1" operator="containsText" text="Увага">
      <formula>NOT(ISERROR(SEARCH("Увага",V31)))</formula>
    </cfRule>
    <cfRule type="containsText" dxfId="451" priority="27" stopIfTrue="1" operator="containsText" text="ПРАВДА">
      <formula>NOT(ISERROR(SEARCH("ПРАВДА",V31)))</formula>
    </cfRule>
  </conditionalFormatting>
  <conditionalFormatting sqref="M74">
    <cfRule type="containsText" dxfId="450" priority="22" stopIfTrue="1" operator="containsText" text="ПОМИЛКА">
      <formula>NOT(ISERROR(SEARCH("ПОМИЛКА",M74)))</formula>
    </cfRule>
    <cfRule type="containsText" dxfId="449" priority="23" stopIfTrue="1" operator="containsText" text="Увага">
      <formula>NOT(ISERROR(SEARCH("Увага",M74)))</formula>
    </cfRule>
    <cfRule type="containsText" dxfId="448" priority="24" stopIfTrue="1" operator="containsText" text="ПРАВДА">
      <formula>NOT(ISERROR(SEARCH("ПРАВДА",M74)))</formula>
    </cfRule>
  </conditionalFormatting>
  <conditionalFormatting sqref="R81">
    <cfRule type="containsText" dxfId="447" priority="19" stopIfTrue="1" operator="containsText" text="ПОМИЛКА">
      <formula>NOT(ISERROR(SEARCH("ПОМИЛКА",R81)))</formula>
    </cfRule>
    <cfRule type="containsText" dxfId="446" priority="20" stopIfTrue="1" operator="containsText" text="Увага">
      <formula>NOT(ISERROR(SEARCH("Увага",R81)))</formula>
    </cfRule>
    <cfRule type="containsText" dxfId="445" priority="21" stopIfTrue="1" operator="containsText" text="ПРАВДА">
      <formula>NOT(ISERROR(SEARCH("ПРАВДА",R81)))</formula>
    </cfRule>
  </conditionalFormatting>
  <conditionalFormatting sqref="S81">
    <cfRule type="containsText" dxfId="444" priority="16" stopIfTrue="1" operator="containsText" text="ПОМИЛКА">
      <formula>NOT(ISERROR(SEARCH("ПОМИЛКА",S81)))</formula>
    </cfRule>
    <cfRule type="containsText" dxfId="443" priority="17" stopIfTrue="1" operator="containsText" text="Увага">
      <formula>NOT(ISERROR(SEARCH("Увага",S81)))</formula>
    </cfRule>
    <cfRule type="containsText" dxfId="442" priority="18" stopIfTrue="1" operator="containsText" text="ПРАВДА">
      <formula>NOT(ISERROR(SEARCH("ПРАВДА",S81)))</formula>
    </cfRule>
  </conditionalFormatting>
  <conditionalFormatting sqref="X84:Y84">
    <cfRule type="containsText" dxfId="441" priority="13" stopIfTrue="1" operator="containsText" text="ПОМИЛКА">
      <formula>NOT(ISERROR(SEARCH("ПОМИЛКА",X84)))</formula>
    </cfRule>
    <cfRule type="containsText" dxfId="440" priority="14" stopIfTrue="1" operator="containsText" text="Увага">
      <formula>NOT(ISERROR(SEARCH("Увага",X84)))</formula>
    </cfRule>
    <cfRule type="containsText" dxfId="439" priority="15" stopIfTrue="1" operator="containsText" text="ПРАВДА">
      <formula>NOT(ISERROR(SEARCH("ПРАВДА",X84)))</formula>
    </cfRule>
  </conditionalFormatting>
  <conditionalFormatting sqref="W34">
    <cfRule type="containsText" dxfId="438" priority="10" stopIfTrue="1" operator="containsText" text="ПОМИЛКА">
      <formula>NOT(ISERROR(SEARCH("ПОМИЛКА",W34)))</formula>
    </cfRule>
    <cfRule type="containsText" dxfId="437" priority="11" stopIfTrue="1" operator="containsText" text="Увага">
      <formula>NOT(ISERROR(SEARCH("Увага",W34)))</formula>
    </cfRule>
    <cfRule type="containsText" dxfId="436" priority="12" stopIfTrue="1" operator="containsText" text="ПРАВДА">
      <formula>NOT(ISERROR(SEARCH("ПРАВДА",W34)))</formula>
    </cfRule>
  </conditionalFormatting>
  <conditionalFormatting sqref="O74">
    <cfRule type="containsText" dxfId="435" priority="7" stopIfTrue="1" operator="containsText" text="ПОМИЛКА">
      <formula>NOT(ISERROR(SEARCH("ПОМИЛКА",O74)))</formula>
    </cfRule>
    <cfRule type="containsText" dxfId="434" priority="8" stopIfTrue="1" operator="containsText" text="Увага">
      <formula>NOT(ISERROR(SEARCH("Увага",O74)))</formula>
    </cfRule>
    <cfRule type="containsText" dxfId="433" priority="9" stopIfTrue="1" operator="containsText" text="ПРАВДА">
      <formula>NOT(ISERROR(SEARCH("ПРАВДА",O74)))</formula>
    </cfRule>
  </conditionalFormatting>
  <conditionalFormatting sqref="AL95">
    <cfRule type="containsText" dxfId="432" priority="4" stopIfTrue="1" operator="containsText" text="ПОМИЛКА">
      <formula>NOT(ISERROR(SEARCH("ПОМИЛКА",AL95)))</formula>
    </cfRule>
    <cfRule type="containsText" dxfId="431" priority="5" stopIfTrue="1" operator="containsText" text="Увага">
      <formula>NOT(ISERROR(SEARCH("Увага",AL95)))</formula>
    </cfRule>
    <cfRule type="containsText" dxfId="430" priority="6" stopIfTrue="1" operator="containsText" text="ПРАВДА">
      <formula>NOT(ISERROR(SEARCH("ПРАВДА",AL95)))</formula>
    </cfRule>
  </conditionalFormatting>
  <conditionalFormatting sqref="BD92">
    <cfRule type="containsText" dxfId="429" priority="1" stopIfTrue="1" operator="containsText" text="ПОМИЛКА">
      <formula>NOT(ISERROR(SEARCH("ПОМИЛКА",BD92)))</formula>
    </cfRule>
    <cfRule type="containsText" dxfId="428" priority="2" stopIfTrue="1" operator="containsText" text="Увага">
      <formula>NOT(ISERROR(SEARCH("Увага",BD92)))</formula>
    </cfRule>
    <cfRule type="containsText" dxfId="427" priority="3" stopIfTrue="1" operator="containsText" text="ПРАВДА">
      <formula>NOT(ISERROR(SEARCH("ПРАВДА",BD92)))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2">
    <tabColor rgb="FFFFFF00"/>
  </sheetPr>
  <dimension ref="A1:AW136"/>
  <sheetViews>
    <sheetView showGridLines="0" tabSelected="1" zoomScale="50" zoomScaleNormal="50" zoomScaleSheetLayoutView="50" zoomScalePageLayoutView="50" workbookViewId="0">
      <selection activeCell="B20" sqref="B20:L20"/>
    </sheetView>
  </sheetViews>
  <sheetFormatPr defaultColWidth="8.7109375" defaultRowHeight="18.75" x14ac:dyDescent="0.25"/>
  <cols>
    <col min="1" max="1" width="9.42578125" style="22" customWidth="1"/>
    <col min="2" max="2" width="10.42578125" style="1" customWidth="1"/>
    <col min="3" max="3" width="27.7109375" style="2" customWidth="1"/>
    <col min="4" max="4" width="25.5703125" style="58" customWidth="1"/>
    <col min="5" max="5" width="11" style="58" customWidth="1"/>
    <col min="6" max="6" width="16.28515625" style="58" customWidth="1"/>
    <col min="7" max="7" width="25.42578125" style="4" customWidth="1"/>
    <col min="8" max="8" width="23.28515625" style="4" customWidth="1"/>
    <col min="9" max="9" width="22.5703125" style="4" customWidth="1"/>
    <col min="10" max="10" width="24.7109375" style="4" customWidth="1"/>
    <col min="11" max="11" width="21.5703125" style="13" customWidth="1"/>
    <col min="12" max="12" width="27.7109375" style="12" customWidth="1"/>
    <col min="13" max="13" width="20.5703125" style="12" customWidth="1"/>
    <col min="14" max="14" width="25.42578125" style="12" customWidth="1"/>
    <col min="15" max="15" width="20.5703125" style="12" customWidth="1"/>
    <col min="16" max="18" width="23" style="12" customWidth="1"/>
    <col min="19" max="19" width="20.7109375" style="2" customWidth="1"/>
    <col min="20" max="20" width="21.42578125" style="77" customWidth="1"/>
    <col min="21" max="21" width="22" style="77" customWidth="1"/>
    <col min="22" max="22" width="30.5703125" style="77" customWidth="1"/>
    <col min="23" max="23" width="28.28515625" style="77" customWidth="1"/>
    <col min="24" max="24" width="29.7109375" style="76" customWidth="1"/>
    <col min="25" max="25" width="30.28515625" style="76" customWidth="1"/>
    <col min="26" max="26" width="25.5703125" style="76" customWidth="1"/>
    <col min="27" max="27" width="32.28515625" style="76" customWidth="1"/>
    <col min="28" max="28" width="24.7109375" style="76" customWidth="1"/>
    <col min="29" max="29" width="29.7109375" style="76" customWidth="1"/>
    <col min="30" max="30" width="28.28515625" style="76" customWidth="1"/>
    <col min="31" max="32" width="24.7109375" style="76" customWidth="1"/>
    <col min="33" max="49" width="8.7109375" style="76"/>
    <col min="50" max="251" width="8.7109375" style="2"/>
    <col min="252" max="252" width="78.5703125" style="2" customWidth="1"/>
    <col min="253" max="255" width="19.42578125" style="2" customWidth="1"/>
    <col min="256" max="16384" width="8.7109375" style="2"/>
  </cols>
  <sheetData>
    <row r="1" spans="1:49" ht="22.35" customHeight="1" x14ac:dyDescent="0.25">
      <c r="B1" s="1964" t="s">
        <v>0</v>
      </c>
      <c r="C1" s="1964"/>
      <c r="D1" s="1811" t="s">
        <v>2095</v>
      </c>
      <c r="E1" s="216"/>
      <c r="F1" s="1965" t="s">
        <v>1</v>
      </c>
      <c r="G1" s="1965"/>
      <c r="H1" s="216">
        <v>430</v>
      </c>
      <c r="J1" s="65"/>
      <c r="K1" s="65"/>
      <c r="L1" s="63"/>
      <c r="M1" s="203"/>
      <c r="N1" s="1371"/>
      <c r="O1" s="1371"/>
      <c r="P1" s="1944" t="s">
        <v>314</v>
      </c>
      <c r="Q1" s="1944"/>
      <c r="R1" s="1944"/>
      <c r="S1" s="1944"/>
    </row>
    <row r="2" spans="1:49" ht="20.100000000000001" customHeight="1" x14ac:dyDescent="0.25">
      <c r="I2" s="2"/>
      <c r="J2" s="2"/>
      <c r="K2" s="2"/>
      <c r="L2" s="295"/>
      <c r="M2" s="2"/>
      <c r="N2" s="2"/>
      <c r="O2" s="2"/>
      <c r="P2" s="2"/>
      <c r="Q2" s="2"/>
      <c r="R2" s="2"/>
    </row>
    <row r="3" spans="1:49" ht="32.65" customHeight="1" x14ac:dyDescent="0.25">
      <c r="A3" s="1992" t="s">
        <v>1406</v>
      </c>
      <c r="B3" s="1992"/>
      <c r="C3" s="1992"/>
      <c r="D3" s="1992"/>
      <c r="E3" s="1992"/>
      <c r="F3" s="1992"/>
      <c r="G3" s="1992"/>
      <c r="H3" s="1992"/>
      <c r="I3" s="1992"/>
      <c r="J3" s="1992"/>
      <c r="K3" s="1992"/>
      <c r="L3" s="1992"/>
      <c r="M3" s="1992"/>
      <c r="N3" s="1992"/>
      <c r="O3" s="1992"/>
      <c r="P3" s="1992"/>
      <c r="Q3" s="1992"/>
      <c r="R3" s="1992"/>
      <c r="S3" s="1992"/>
      <c r="V3" s="1912"/>
      <c r="W3" s="1920"/>
      <c r="X3" s="1920"/>
    </row>
    <row r="4" spans="1:49" s="47" customFormat="1" ht="24" customHeight="1" x14ac:dyDescent="0.25">
      <c r="A4" s="1975" t="s">
        <v>198</v>
      </c>
      <c r="B4" s="1976"/>
      <c r="C4" s="1977"/>
      <c r="D4" s="1966" t="s">
        <v>283</v>
      </c>
      <c r="E4" s="1967"/>
      <c r="F4" s="1967"/>
      <c r="G4" s="1967"/>
      <c r="H4" s="1967"/>
      <c r="I4" s="1967"/>
      <c r="J4" s="1968"/>
      <c r="K4" s="2"/>
      <c r="L4" s="4"/>
      <c r="M4" s="4"/>
      <c r="N4" s="4"/>
      <c r="O4" s="4"/>
      <c r="P4" s="4"/>
      <c r="Q4" s="4"/>
      <c r="R4" s="4"/>
      <c r="S4" s="2"/>
      <c r="T4" s="77"/>
      <c r="U4" s="77"/>
      <c r="V4" s="1912"/>
      <c r="W4" s="1920"/>
      <c r="X4" s="1920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</row>
    <row r="5" spans="1:49" s="47" customFormat="1" ht="24" customHeight="1" x14ac:dyDescent="0.25">
      <c r="A5" s="1978" t="s">
        <v>2</v>
      </c>
      <c r="B5" s="1979"/>
      <c r="C5" s="1980"/>
      <c r="D5" s="1966" t="s">
        <v>1217</v>
      </c>
      <c r="E5" s="1967"/>
      <c r="F5" s="1967"/>
      <c r="G5" s="1967"/>
      <c r="H5" s="1967"/>
      <c r="I5" s="1967"/>
      <c r="J5" s="1968"/>
      <c r="K5" s="58"/>
      <c r="L5" s="18"/>
      <c r="M5" s="18"/>
      <c r="N5" s="18"/>
      <c r="O5" s="18"/>
      <c r="P5" s="18"/>
      <c r="Q5" s="18"/>
      <c r="R5" s="18"/>
      <c r="S5" s="19"/>
      <c r="T5" s="77"/>
      <c r="U5" s="77"/>
      <c r="V5" s="1912"/>
      <c r="W5" s="1920"/>
      <c r="X5" s="1920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</row>
    <row r="6" spans="1:49" s="47" customFormat="1" ht="30.6" customHeight="1" x14ac:dyDescent="0.25">
      <c r="A6" s="1993"/>
      <c r="B6" s="1993"/>
      <c r="C6" s="1993"/>
      <c r="D6" s="1993"/>
      <c r="E6" s="1993"/>
      <c r="F6" s="1993"/>
      <c r="G6" s="1993"/>
      <c r="H6" s="1945" t="s">
        <v>1209</v>
      </c>
      <c r="I6" s="1945"/>
      <c r="J6" s="1945"/>
      <c r="K6" s="1945"/>
      <c r="L6" s="1945"/>
      <c r="M6" s="1945"/>
      <c r="N6" s="1945"/>
      <c r="O6" s="1945"/>
      <c r="P6" s="1945"/>
      <c r="Q6" s="1945"/>
      <c r="R6" s="1945"/>
      <c r="S6" s="1945"/>
      <c r="T6" s="77"/>
      <c r="U6" s="77"/>
      <c r="V6" s="1912"/>
      <c r="W6" s="1920"/>
      <c r="X6" s="1920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</row>
    <row r="7" spans="1:49" s="47" customFormat="1" ht="23.1" customHeight="1" x14ac:dyDescent="0.25">
      <c r="A7" s="1961" t="s">
        <v>4</v>
      </c>
      <c r="B7" s="1962"/>
      <c r="C7" s="1962"/>
      <c r="D7" s="1962"/>
      <c r="E7" s="1962"/>
      <c r="F7" s="1962"/>
      <c r="G7" s="1963"/>
      <c r="H7" s="1972" t="s">
        <v>2096</v>
      </c>
      <c r="I7" s="1972"/>
      <c r="J7" s="1972"/>
      <c r="K7" s="1972"/>
      <c r="L7" s="1972"/>
      <c r="M7" s="1972"/>
      <c r="N7" s="1972"/>
      <c r="O7" s="1972"/>
      <c r="P7" s="1972"/>
      <c r="Q7" s="1972"/>
      <c r="R7" s="1972"/>
      <c r="S7" s="1973"/>
      <c r="T7" s="77"/>
      <c r="U7" s="77"/>
      <c r="V7" s="1912"/>
      <c r="W7" s="1920"/>
      <c r="X7" s="1920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</row>
    <row r="8" spans="1:49" s="47" customFormat="1" ht="27" customHeight="1" x14ac:dyDescent="0.25">
      <c r="A8" s="1961" t="s">
        <v>267</v>
      </c>
      <c r="B8" s="1962" t="s">
        <v>84</v>
      </c>
      <c r="C8" s="1962" t="s">
        <v>84</v>
      </c>
      <c r="D8" s="1962"/>
      <c r="E8" s="1962"/>
      <c r="F8" s="1962"/>
      <c r="G8" s="1963"/>
      <c r="H8" s="1972" t="s">
        <v>2097</v>
      </c>
      <c r="I8" s="1972"/>
      <c r="J8" s="1972"/>
      <c r="K8" s="1972"/>
      <c r="L8" s="1972"/>
      <c r="M8" s="1972"/>
      <c r="N8" s="1972"/>
      <c r="O8" s="1972"/>
      <c r="P8" s="1972"/>
      <c r="Q8" s="1972"/>
      <c r="R8" s="1972"/>
      <c r="S8" s="1973"/>
      <c r="T8" s="77"/>
      <c r="U8" s="77"/>
      <c r="V8" s="130"/>
      <c r="W8" s="130"/>
      <c r="X8" s="130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</row>
    <row r="9" spans="1:49" s="47" customFormat="1" ht="26.1" customHeight="1" x14ac:dyDescent="0.25">
      <c r="A9" s="1961" t="s">
        <v>85</v>
      </c>
      <c r="B9" s="1962"/>
      <c r="C9" s="1962"/>
      <c r="D9" s="1962"/>
      <c r="E9" s="1962"/>
      <c r="F9" s="1962"/>
      <c r="G9" s="1963"/>
      <c r="H9" s="1972" t="s">
        <v>2097</v>
      </c>
      <c r="I9" s="1972"/>
      <c r="J9" s="1972"/>
      <c r="K9" s="1972"/>
      <c r="L9" s="1972"/>
      <c r="M9" s="1972"/>
      <c r="N9" s="1972"/>
      <c r="O9" s="1972"/>
      <c r="P9" s="1972"/>
      <c r="Q9" s="1972"/>
      <c r="R9" s="1972"/>
      <c r="S9" s="1973"/>
      <c r="T9" s="77"/>
      <c r="U9" s="77"/>
      <c r="V9" s="429"/>
      <c r="W9" s="429"/>
      <c r="X9" s="142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</row>
    <row r="10" spans="1:49" s="47" customFormat="1" ht="22.35" customHeight="1" x14ac:dyDescent="0.25">
      <c r="A10" s="1961" t="s">
        <v>5</v>
      </c>
      <c r="B10" s="1962"/>
      <c r="C10" s="1962"/>
      <c r="D10" s="1962"/>
      <c r="E10" s="1962"/>
      <c r="F10" s="1962"/>
      <c r="G10" s="1963"/>
      <c r="H10" s="1969" t="s">
        <v>2098</v>
      </c>
      <c r="I10" s="1970"/>
      <c r="J10" s="1970"/>
      <c r="K10" s="1970"/>
      <c r="L10" s="1970"/>
      <c r="M10" s="1970"/>
      <c r="N10" s="1970"/>
      <c r="O10" s="1970"/>
      <c r="P10" s="1970"/>
      <c r="Q10" s="1970"/>
      <c r="R10" s="1970"/>
      <c r="S10" s="1971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</row>
    <row r="11" spans="1:49" s="47" customFormat="1" ht="22.15" customHeight="1" x14ac:dyDescent="0.25">
      <c r="A11" s="204"/>
      <c r="B11" s="204"/>
      <c r="C11" s="204"/>
      <c r="D11" s="204"/>
      <c r="E11" s="204"/>
      <c r="F11" s="204"/>
      <c r="G11" s="204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</row>
    <row r="12" spans="1:49" s="47" customFormat="1" ht="21.6" customHeight="1" thickBot="1" x14ac:dyDescent="0.3">
      <c r="A12" s="1947" t="s">
        <v>444</v>
      </c>
      <c r="B12" s="1947"/>
      <c r="C12" s="1947"/>
      <c r="D12" s="1947"/>
      <c r="E12" s="1947"/>
      <c r="F12" s="5"/>
      <c r="G12" s="5"/>
      <c r="H12" s="5"/>
      <c r="I12" s="5"/>
      <c r="J12" s="1472"/>
      <c r="K12" s="1472"/>
      <c r="L12" s="1472"/>
      <c r="M12" s="1472"/>
      <c r="N12" s="1472"/>
      <c r="O12" s="1472"/>
      <c r="P12" s="1472"/>
      <c r="Q12" s="1472"/>
      <c r="R12" s="1472"/>
      <c r="S12" s="1372" t="s">
        <v>248</v>
      </c>
      <c r="T12" s="1473"/>
      <c r="U12" s="1473"/>
      <c r="V12" s="1473"/>
      <c r="W12" s="1473"/>
      <c r="X12" s="1473"/>
      <c r="Y12" s="1473"/>
      <c r="Z12" s="1473"/>
      <c r="AA12" s="1473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</row>
    <row r="13" spans="1:49" s="47" customFormat="1" ht="29.65" customHeight="1" thickBot="1" x14ac:dyDescent="0.3">
      <c r="A13" s="1950" t="s">
        <v>6</v>
      </c>
      <c r="B13" s="1953" t="s">
        <v>7</v>
      </c>
      <c r="C13" s="1953"/>
      <c r="D13" s="1953"/>
      <c r="E13" s="1953"/>
      <c r="F13" s="1936" t="s">
        <v>368</v>
      </c>
      <c r="G13" s="1909" t="s">
        <v>409</v>
      </c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1"/>
      <c r="T13" s="1912"/>
      <c r="U13" s="1912"/>
      <c r="V13" s="1912"/>
      <c r="W13" s="1912"/>
      <c r="X13" s="1912"/>
      <c r="Y13" s="1912"/>
      <c r="Z13" s="1912"/>
      <c r="AA13" s="1912"/>
      <c r="AB13" s="77"/>
      <c r="AC13" s="77"/>
      <c r="AD13" s="77"/>
      <c r="AE13" s="77"/>
      <c r="AF13" s="1474" t="s">
        <v>248</v>
      </c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</row>
    <row r="14" spans="1:49" s="47" customFormat="1" ht="29.65" customHeight="1" x14ac:dyDescent="0.25">
      <c r="A14" s="1951"/>
      <c r="B14" s="1955"/>
      <c r="C14" s="1955"/>
      <c r="D14" s="1955"/>
      <c r="E14" s="1955"/>
      <c r="F14" s="1925"/>
      <c r="G14" s="1934" t="s">
        <v>187</v>
      </c>
      <c r="H14" s="1935" t="s">
        <v>410</v>
      </c>
      <c r="I14" s="1935"/>
      <c r="J14" s="1935"/>
      <c r="K14" s="1935"/>
      <c r="L14" s="1935"/>
      <c r="M14" s="1935"/>
      <c r="N14" s="1935"/>
      <c r="O14" s="1935"/>
      <c r="P14" s="1935"/>
      <c r="Q14" s="1936"/>
      <c r="R14" s="1936"/>
      <c r="S14" s="1936"/>
      <c r="T14" s="1913" t="s">
        <v>1959</v>
      </c>
      <c r="U14" s="1899" t="s">
        <v>780</v>
      </c>
      <c r="V14" s="1899"/>
      <c r="W14" s="1915" t="s">
        <v>1960</v>
      </c>
      <c r="X14" s="1899" t="s">
        <v>780</v>
      </c>
      <c r="Y14" s="1899"/>
      <c r="Z14" s="1915" t="s">
        <v>1373</v>
      </c>
      <c r="AA14" s="1897" t="s">
        <v>1926</v>
      </c>
      <c r="AB14" s="1907" t="s">
        <v>1958</v>
      </c>
      <c r="AC14" s="1905" t="s">
        <v>992</v>
      </c>
      <c r="AD14" s="1903" t="s">
        <v>918</v>
      </c>
      <c r="AE14" s="1903"/>
      <c r="AF14" s="1897" t="s">
        <v>1372</v>
      </c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</row>
    <row r="15" spans="1:49" s="47" customFormat="1" ht="29.65" customHeight="1" x14ac:dyDescent="0.25">
      <c r="A15" s="1951"/>
      <c r="B15" s="1955"/>
      <c r="C15" s="1955"/>
      <c r="D15" s="1955"/>
      <c r="E15" s="1955"/>
      <c r="F15" s="1925"/>
      <c r="G15" s="1981"/>
      <c r="H15" s="1942" t="s">
        <v>991</v>
      </c>
      <c r="I15" s="1925" t="s">
        <v>448</v>
      </c>
      <c r="J15" s="1926"/>
      <c r="K15" s="1926"/>
      <c r="L15" s="1926"/>
      <c r="M15" s="1926"/>
      <c r="N15" s="1926"/>
      <c r="O15" s="1926"/>
      <c r="P15" s="1926"/>
      <c r="Q15" s="1926"/>
      <c r="R15" s="1927"/>
      <c r="S15" s="1940" t="s">
        <v>371</v>
      </c>
      <c r="T15" s="1914"/>
      <c r="U15" s="1902" t="s">
        <v>1981</v>
      </c>
      <c r="V15" s="1900" t="s">
        <v>1983</v>
      </c>
      <c r="W15" s="1916"/>
      <c r="X15" s="1902" t="s">
        <v>1919</v>
      </c>
      <c r="Y15" s="1900" t="s">
        <v>1984</v>
      </c>
      <c r="Z15" s="1916"/>
      <c r="AA15" s="1898"/>
      <c r="AB15" s="1908"/>
      <c r="AC15" s="1906"/>
      <c r="AD15" s="1904"/>
      <c r="AE15" s="1904"/>
      <c r="AF15" s="1898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</row>
    <row r="16" spans="1:49" s="47" customFormat="1" ht="57.75" customHeight="1" thickBot="1" x14ac:dyDescent="0.3">
      <c r="A16" s="1951"/>
      <c r="B16" s="1955"/>
      <c r="C16" s="1955"/>
      <c r="D16" s="1955"/>
      <c r="E16" s="1955"/>
      <c r="F16" s="1925"/>
      <c r="G16" s="1981"/>
      <c r="H16" s="1942"/>
      <c r="I16" s="1917" t="s">
        <v>197</v>
      </c>
      <c r="J16" s="1917"/>
      <c r="K16" s="1917" t="s">
        <v>178</v>
      </c>
      <c r="L16" s="1917"/>
      <c r="M16" s="1931" t="s">
        <v>13</v>
      </c>
      <c r="N16" s="1932"/>
      <c r="O16" s="1932"/>
      <c r="P16" s="1932"/>
      <c r="Q16" s="1932"/>
      <c r="R16" s="1933"/>
      <c r="S16" s="1940"/>
      <c r="T16" s="1914"/>
      <c r="U16" s="1921"/>
      <c r="V16" s="1901"/>
      <c r="W16" s="1916"/>
      <c r="X16" s="1902"/>
      <c r="Y16" s="1901"/>
      <c r="Z16" s="1916"/>
      <c r="AA16" s="1898"/>
      <c r="AB16" s="1908"/>
      <c r="AC16" s="1906"/>
      <c r="AD16" s="1904"/>
      <c r="AE16" s="1904"/>
      <c r="AF16" s="1898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</row>
    <row r="17" spans="1:49" s="47" customFormat="1" ht="102.75" customHeight="1" thickBot="1" x14ac:dyDescent="0.3">
      <c r="A17" s="1952"/>
      <c r="B17" s="1957"/>
      <c r="C17" s="1957"/>
      <c r="D17" s="1957"/>
      <c r="E17" s="1957"/>
      <c r="F17" s="1939"/>
      <c r="G17" s="1982"/>
      <c r="H17" s="1943"/>
      <c r="I17" s="528" t="s">
        <v>80</v>
      </c>
      <c r="J17" s="528" t="s">
        <v>370</v>
      </c>
      <c r="K17" s="528" t="s">
        <v>80</v>
      </c>
      <c r="L17" s="1560" t="s">
        <v>370</v>
      </c>
      <c r="M17" s="1591" t="s">
        <v>1961</v>
      </c>
      <c r="N17" s="1596" t="s">
        <v>1992</v>
      </c>
      <c r="O17" s="263" t="s">
        <v>1957</v>
      </c>
      <c r="P17" s="1591" t="s">
        <v>370</v>
      </c>
      <c r="Q17" s="1596" t="s">
        <v>1993</v>
      </c>
      <c r="R17" s="263" t="s">
        <v>1957</v>
      </c>
      <c r="S17" s="1941"/>
      <c r="T17" s="1914"/>
      <c r="U17" s="1921"/>
      <c r="V17" s="1901"/>
      <c r="W17" s="1916"/>
      <c r="X17" s="1902"/>
      <c r="Y17" s="1901"/>
      <c r="Z17" s="1916"/>
      <c r="AA17" s="1898"/>
      <c r="AB17" s="1908"/>
      <c r="AC17" s="1906"/>
      <c r="AD17" s="1450" t="s">
        <v>1127</v>
      </c>
      <c r="AE17" s="1450" t="s">
        <v>993</v>
      </c>
      <c r="AF17" s="1898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</row>
    <row r="18" spans="1:49" s="47" customFormat="1" ht="30.6" customHeight="1" thickBot="1" x14ac:dyDescent="0.3">
      <c r="A18" s="1795" t="s">
        <v>9</v>
      </c>
      <c r="B18" s="1994">
        <v>2</v>
      </c>
      <c r="C18" s="1994"/>
      <c r="D18" s="1994"/>
      <c r="E18" s="1994"/>
      <c r="F18" s="1796">
        <v>3</v>
      </c>
      <c r="G18" s="1796">
        <v>4</v>
      </c>
      <c r="H18" s="1796">
        <v>5</v>
      </c>
      <c r="I18" s="1796">
        <v>6</v>
      </c>
      <c r="J18" s="1796">
        <v>7</v>
      </c>
      <c r="K18" s="1796">
        <v>8</v>
      </c>
      <c r="L18" s="1797">
        <v>9</v>
      </c>
      <c r="M18" s="1798">
        <v>10</v>
      </c>
      <c r="N18" s="1796" t="s">
        <v>1933</v>
      </c>
      <c r="O18" s="1799" t="s">
        <v>1934</v>
      </c>
      <c r="P18" s="1798">
        <v>11</v>
      </c>
      <c r="Q18" s="1796" t="s">
        <v>1935</v>
      </c>
      <c r="R18" s="1799" t="s">
        <v>1936</v>
      </c>
      <c r="S18" s="1592">
        <v>12</v>
      </c>
      <c r="T18" s="1452">
        <v>13</v>
      </c>
      <c r="U18" s="1449" t="s">
        <v>1917</v>
      </c>
      <c r="V18" s="1449" t="s">
        <v>1918</v>
      </c>
      <c r="W18" s="1449">
        <v>14</v>
      </c>
      <c r="X18" s="1451" t="s">
        <v>1922</v>
      </c>
      <c r="Y18" s="71" t="s">
        <v>1923</v>
      </c>
      <c r="Z18" s="1449">
        <v>15</v>
      </c>
      <c r="AA18" s="1453">
        <v>16</v>
      </c>
      <c r="AB18" s="1470">
        <v>17</v>
      </c>
      <c r="AC18" s="1464">
        <v>18</v>
      </c>
      <c r="AD18" s="1449" t="s">
        <v>919</v>
      </c>
      <c r="AE18" s="1454" t="s">
        <v>920</v>
      </c>
      <c r="AF18" s="1453">
        <v>19</v>
      </c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</row>
    <row r="19" spans="1:49" s="47" customFormat="1" ht="38.1" customHeight="1" thickBot="1" x14ac:dyDescent="0.3">
      <c r="A19" s="1800">
        <v>1</v>
      </c>
      <c r="B19" s="1995" t="s">
        <v>187</v>
      </c>
      <c r="C19" s="1995"/>
      <c r="D19" s="1995"/>
      <c r="E19" s="1995"/>
      <c r="F19" s="1726">
        <v>0</v>
      </c>
      <c r="G19" s="946">
        <f>H19+I19+J19+K19+L19+M19+P19+S19</f>
        <v>71827212.719999999</v>
      </c>
      <c r="H19" s="946">
        <f>'Дод_Надходж ПМГ '!E9</f>
        <v>50956018.719999999</v>
      </c>
      <c r="I19" s="268">
        <v>0</v>
      </c>
      <c r="J19" s="268">
        <f>11614510</f>
        <v>11614510</v>
      </c>
      <c r="K19" s="268">
        <f>5052147+279200</f>
        <v>5331347</v>
      </c>
      <c r="L19" s="268">
        <v>0</v>
      </c>
      <c r="M19" s="1801">
        <f>M20+M21</f>
        <v>0</v>
      </c>
      <c r="N19" s="1801">
        <f>N20+N21</f>
        <v>0</v>
      </c>
      <c r="O19" s="1801">
        <f>O21</f>
        <v>0</v>
      </c>
      <c r="P19" s="1802">
        <f>P20+P21</f>
        <v>3904135</v>
      </c>
      <c r="Q19" s="1802">
        <f>Q20+Q21</f>
        <v>3904135</v>
      </c>
      <c r="R19" s="1802">
        <f>R21</f>
        <v>0</v>
      </c>
      <c r="S19" s="1533">
        <f>I55</f>
        <v>21202</v>
      </c>
      <c r="T19" s="1465">
        <f>U19+V19</f>
        <v>0</v>
      </c>
      <c r="U19" s="1807">
        <v>0</v>
      </c>
      <c r="V19" s="1466">
        <f>'Звіт Пацієнт '!I20</f>
        <v>0</v>
      </c>
      <c r="W19" s="1466">
        <f>X19+Y19</f>
        <v>0</v>
      </c>
      <c r="X19" s="1807">
        <v>0</v>
      </c>
      <c r="Y19" s="1466">
        <f>'Звіт Пацієнт '!J20</f>
        <v>0</v>
      </c>
      <c r="Z19" s="1467" t="str">
        <f>IF('Звіт   4,5,6'!E43=0,"Дані не введено",IF(ROUND((Y22+U20-Z22),1)=ROUND((X19/1000),1),"ПРАВДА","ПОМИЛКА"))</f>
        <v>ПРАВДА</v>
      </c>
      <c r="AA19" s="1468" t="str">
        <f>IF('Звіт   4,5,6'!E43=0,"Дані не введено",IF(ROUND((V20+Y24-Z24),1)=ROUND((Y19/1000),1),"ПРАВДА","ПОМИЛКА"))</f>
        <v>ПРАВДА</v>
      </c>
      <c r="AB19" s="1471">
        <v>0</v>
      </c>
      <c r="AC19" s="1469">
        <f>'Звіт   4,5,6'!H23</f>
        <v>267000</v>
      </c>
      <c r="AD19" s="1462">
        <v>0</v>
      </c>
      <c r="AE19" s="1462">
        <v>0</v>
      </c>
      <c r="AF19" s="1463" t="str">
        <f>IF('Звіт   4,5,6'!E43=0,"Дані не введено",IF(ROUND((Y23+AC19/1000-Z23),1)=ROUND(((AD19+AE19)/1000),1),"ПРАВДА","ПОМИЛКА"))</f>
        <v>ПРАВДА</v>
      </c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</row>
    <row r="20" spans="1:49" s="47" customFormat="1" ht="37.5" customHeight="1" x14ac:dyDescent="0.3">
      <c r="A20" s="1800">
        <v>2</v>
      </c>
      <c r="B20" s="1938" t="s">
        <v>1769</v>
      </c>
      <c r="C20" s="1938"/>
      <c r="D20" s="1938"/>
      <c r="E20" s="1938"/>
      <c r="F20" s="1938"/>
      <c r="G20" s="1938"/>
      <c r="H20" s="1938"/>
      <c r="I20" s="1938"/>
      <c r="J20" s="1938"/>
      <c r="K20" s="1938"/>
      <c r="L20" s="1938"/>
      <c r="M20" s="538">
        <f>N20</f>
        <v>0</v>
      </c>
      <c r="N20" s="268">
        <v>0</v>
      </c>
      <c r="O20" s="1802" t="s">
        <v>280</v>
      </c>
      <c r="P20" s="538">
        <f>Q20</f>
        <v>3904135</v>
      </c>
      <c r="Q20" s="268">
        <v>3904135</v>
      </c>
      <c r="R20" s="1802" t="s">
        <v>280</v>
      </c>
      <c r="S20" s="141"/>
      <c r="T20" s="935"/>
      <c r="U20" s="935">
        <f>ROUND(('Звіт 1,2,3'!U19/1000),1)</f>
        <v>0</v>
      </c>
      <c r="V20" s="935">
        <f>ROUND(('Звіт 1,2,3'!V19/1000),1)</f>
        <v>0</v>
      </c>
      <c r="W20" s="935"/>
      <c r="X20" s="935">
        <f>ROUND(('Звіт 1,2,3'!X19/1000),1)</f>
        <v>0</v>
      </c>
      <c r="Y20" s="935">
        <f>ROUND(('Звіт 1,2,3'!Y19/1000),1)</f>
        <v>0</v>
      </c>
      <c r="Z20" s="1534" t="s">
        <v>320</v>
      </c>
      <c r="AB20" s="99"/>
      <c r="AC20" s="1896"/>
      <c r="AD20" s="1896"/>
      <c r="AE20" s="470"/>
      <c r="AF20" s="935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</row>
    <row r="21" spans="1:49" s="47" customFormat="1" ht="33" customHeight="1" x14ac:dyDescent="0.25">
      <c r="A21" s="1800">
        <v>3</v>
      </c>
      <c r="B21" s="1987" t="s">
        <v>1770</v>
      </c>
      <c r="C21" s="1987"/>
      <c r="D21" s="1987"/>
      <c r="E21" s="1987"/>
      <c r="F21" s="1987"/>
      <c r="G21" s="1987"/>
      <c r="H21" s="1987"/>
      <c r="I21" s="1987"/>
      <c r="J21" s="1987"/>
      <c r="K21" s="1987"/>
      <c r="L21" s="1987"/>
      <c r="M21" s="538">
        <f>N21+O21</f>
        <v>0</v>
      </c>
      <c r="N21" s="268">
        <v>0</v>
      </c>
      <c r="O21" s="538">
        <f>'Звіт Пацієнт '!F20+'Звіт Пацієнт '!G20+'Звіт Пацієнт '!J20</f>
        <v>0</v>
      </c>
      <c r="P21" s="538">
        <f>Q21+R21</f>
        <v>0</v>
      </c>
      <c r="Q21" s="268">
        <v>0</v>
      </c>
      <c r="R21" s="538">
        <f>'Звіт Пацієнт '!H20</f>
        <v>0</v>
      </c>
      <c r="S21" s="142"/>
      <c r="U21" s="1946" t="s">
        <v>1925</v>
      </c>
      <c r="V21" s="1946"/>
      <c r="W21" s="1946"/>
      <c r="X21" s="1627" t="s">
        <v>1924</v>
      </c>
      <c r="Y21" s="1627" t="s">
        <v>717</v>
      </c>
      <c r="Z21" s="1627" t="s">
        <v>718</v>
      </c>
      <c r="AB21" s="99"/>
      <c r="AC21" s="1461"/>
      <c r="AD21" s="1461"/>
      <c r="AE21" s="470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</row>
    <row r="22" spans="1:49" s="131" customFormat="1" ht="31.5" customHeight="1" thickBot="1" x14ac:dyDescent="0.3">
      <c r="A22" s="1947" t="s">
        <v>504</v>
      </c>
      <c r="B22" s="1947"/>
      <c r="C22" s="1947"/>
      <c r="D22" s="1947"/>
      <c r="E22" s="1947"/>
      <c r="F22" s="141"/>
      <c r="G22" s="142"/>
      <c r="H22" s="142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372" t="s">
        <v>248</v>
      </c>
      <c r="U22" s="1918" t="s">
        <v>1962</v>
      </c>
      <c r="V22" s="1918"/>
      <c r="W22" s="1918"/>
      <c r="X22" s="1559" t="str">
        <f>'Звіт   9'!D42</f>
        <v>1155.2</v>
      </c>
      <c r="Y22" s="1457">
        <f>'Звіт   9'!H42</f>
        <v>0</v>
      </c>
      <c r="Z22" s="1457">
        <f>'Звіт   9'!K42</f>
        <v>0</v>
      </c>
      <c r="AB22" s="880"/>
      <c r="AE22" s="471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s="131" customFormat="1" ht="36.75" customHeight="1" x14ac:dyDescent="0.25">
      <c r="A23" s="1950" t="s">
        <v>6</v>
      </c>
      <c r="B23" s="1953" t="s">
        <v>7</v>
      </c>
      <c r="C23" s="1953"/>
      <c r="D23" s="1953"/>
      <c r="E23" s="1954"/>
      <c r="F23" s="1922" t="s">
        <v>368</v>
      </c>
      <c r="G23" s="1934" t="s">
        <v>409</v>
      </c>
      <c r="H23" s="1935"/>
      <c r="I23" s="1935"/>
      <c r="J23" s="1935"/>
      <c r="K23" s="1935"/>
      <c r="L23" s="1935"/>
      <c r="M23" s="1935"/>
      <c r="N23" s="1935"/>
      <c r="O23" s="1935"/>
      <c r="P23" s="1935"/>
      <c r="Q23" s="1936"/>
      <c r="R23" s="1936"/>
      <c r="S23" s="1937"/>
      <c r="U23" s="1919" t="s">
        <v>2010</v>
      </c>
      <c r="V23" s="1919"/>
      <c r="W23" s="1919"/>
      <c r="X23" s="1460" t="str">
        <f>'Звіт   9'!D43</f>
        <v>1155.3</v>
      </c>
      <c r="Y23" s="1457">
        <f>'Звіт   9'!H43</f>
        <v>0</v>
      </c>
      <c r="Z23" s="1457">
        <f>'Звіт   9'!K43</f>
        <v>267</v>
      </c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</row>
    <row r="24" spans="1:49" s="131" customFormat="1" ht="30" customHeight="1" x14ac:dyDescent="0.25">
      <c r="A24" s="1951"/>
      <c r="B24" s="1955"/>
      <c r="C24" s="1955"/>
      <c r="D24" s="1955"/>
      <c r="E24" s="1956"/>
      <c r="F24" s="1923"/>
      <c r="G24" s="1983" t="s">
        <v>2037</v>
      </c>
      <c r="H24" s="1985" t="s">
        <v>410</v>
      </c>
      <c r="I24" s="1985"/>
      <c r="J24" s="1985"/>
      <c r="K24" s="1985"/>
      <c r="L24" s="1985"/>
      <c r="M24" s="1985"/>
      <c r="N24" s="1985"/>
      <c r="O24" s="1985"/>
      <c r="P24" s="1985"/>
      <c r="Q24" s="1925"/>
      <c r="R24" s="1925"/>
      <c r="S24" s="1986"/>
      <c r="U24" s="1918" t="str">
        <f>'Звіт   9'!A46</f>
        <v>з цільової благодійної допомоги в частині фінансування самим пацієнтом свого лікування (Дт 37 ЗБПц Кт 48 Пц)</v>
      </c>
      <c r="V24" s="1918"/>
      <c r="W24" s="1918"/>
      <c r="X24" s="1460" t="str">
        <f>'Звіт   9'!D46</f>
        <v>1155.4</v>
      </c>
      <c r="Y24" s="1457">
        <f>'Звіт   9'!H46</f>
        <v>0</v>
      </c>
      <c r="Z24" s="1457">
        <f>'Звіт   9'!K46</f>
        <v>0</v>
      </c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</row>
    <row r="25" spans="1:49" s="131" customFormat="1" ht="31.9" customHeight="1" x14ac:dyDescent="0.25">
      <c r="A25" s="1951"/>
      <c r="B25" s="1955"/>
      <c r="C25" s="1955"/>
      <c r="D25" s="1955"/>
      <c r="E25" s="1956"/>
      <c r="F25" s="1923"/>
      <c r="G25" s="1983"/>
      <c r="H25" s="1917" t="s">
        <v>503</v>
      </c>
      <c r="I25" s="1928" t="s">
        <v>447</v>
      </c>
      <c r="J25" s="1929"/>
      <c r="K25" s="1929"/>
      <c r="L25" s="1929"/>
      <c r="M25" s="1929"/>
      <c r="N25" s="1929"/>
      <c r="O25" s="1929"/>
      <c r="P25" s="1929"/>
      <c r="Q25" s="1929"/>
      <c r="R25" s="1930"/>
      <c r="S25" s="2017" t="s">
        <v>731</v>
      </c>
      <c r="T25" s="140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</row>
    <row r="26" spans="1:49" s="131" customFormat="1" ht="55.5" customHeight="1" x14ac:dyDescent="0.25">
      <c r="A26" s="1951"/>
      <c r="B26" s="1955"/>
      <c r="C26" s="1955"/>
      <c r="D26" s="1955"/>
      <c r="E26" s="1956"/>
      <c r="F26" s="1923"/>
      <c r="G26" s="1983"/>
      <c r="H26" s="1917"/>
      <c r="I26" s="1985" t="s">
        <v>197</v>
      </c>
      <c r="J26" s="1985"/>
      <c r="K26" s="1985" t="s">
        <v>178</v>
      </c>
      <c r="L26" s="1985"/>
      <c r="M26" s="1925" t="s">
        <v>13</v>
      </c>
      <c r="N26" s="1926"/>
      <c r="O26" s="1926"/>
      <c r="P26" s="1926"/>
      <c r="Q26" s="1926"/>
      <c r="R26" s="1927"/>
      <c r="S26" s="2017"/>
      <c r="T26" s="140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</row>
    <row r="27" spans="1:49" s="131" customFormat="1" ht="91.5" customHeight="1" thickBot="1" x14ac:dyDescent="0.3">
      <c r="A27" s="1952"/>
      <c r="B27" s="1957"/>
      <c r="C27" s="1957"/>
      <c r="D27" s="1957"/>
      <c r="E27" s="1958"/>
      <c r="F27" s="1924"/>
      <c r="G27" s="1984"/>
      <c r="H27" s="1959"/>
      <c r="I27" s="528" t="s">
        <v>80</v>
      </c>
      <c r="J27" s="528" t="s">
        <v>370</v>
      </c>
      <c r="K27" s="528" t="s">
        <v>80</v>
      </c>
      <c r="L27" s="528" t="s">
        <v>370</v>
      </c>
      <c r="M27" s="528" t="str">
        <f>M17</f>
        <v xml:space="preserve">грошові кошти з урахуванням погашення </v>
      </c>
      <c r="N27" s="528" t="s">
        <v>1998</v>
      </c>
      <c r="O27" s="528" t="s">
        <v>2030</v>
      </c>
      <c r="P27" s="528" t="s">
        <v>370</v>
      </c>
      <c r="Q27" s="528" t="s">
        <v>1999</v>
      </c>
      <c r="R27" s="1369" t="str">
        <f>R17</f>
        <v>від пацієнта для свого лікування -Пц</v>
      </c>
      <c r="S27" s="2018"/>
      <c r="T27" s="140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</row>
    <row r="28" spans="1:49" s="131" customFormat="1" ht="24" customHeight="1" thickBot="1" x14ac:dyDescent="0.3">
      <c r="A28" s="469" t="s">
        <v>9</v>
      </c>
      <c r="B28" s="1948">
        <v>2</v>
      </c>
      <c r="C28" s="1948"/>
      <c r="D28" s="1948"/>
      <c r="E28" s="1949"/>
      <c r="F28" s="580">
        <v>3</v>
      </c>
      <c r="G28" s="246">
        <v>4</v>
      </c>
      <c r="H28" s="1254">
        <v>5</v>
      </c>
      <c r="I28" s="1254">
        <v>6</v>
      </c>
      <c r="J28" s="1254">
        <v>7</v>
      </c>
      <c r="K28" s="1254">
        <v>8</v>
      </c>
      <c r="L28" s="1254">
        <v>9</v>
      </c>
      <c r="M28" s="1254">
        <v>10</v>
      </c>
      <c r="N28" s="1366" t="s">
        <v>1933</v>
      </c>
      <c r="O28" s="1366" t="s">
        <v>1934</v>
      </c>
      <c r="P28" s="1254">
        <v>11</v>
      </c>
      <c r="Q28" s="1367" t="s">
        <v>1935</v>
      </c>
      <c r="R28" s="1367" t="s">
        <v>1936</v>
      </c>
      <c r="S28" s="255">
        <v>12</v>
      </c>
      <c r="T28" s="140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</row>
    <row r="29" spans="1:49" s="47" customFormat="1" ht="29.25" customHeight="1" x14ac:dyDescent="0.25">
      <c r="A29" s="256">
        <v>2</v>
      </c>
      <c r="B29" s="2009" t="s">
        <v>994</v>
      </c>
      <c r="C29" s="2009"/>
      <c r="D29" s="2009"/>
      <c r="E29" s="2021"/>
      <c r="F29" s="581">
        <f>SUM(F30+F40+F41+F42+F43+F44+F45+F46+F47)</f>
        <v>0</v>
      </c>
      <c r="G29" s="550">
        <f>SUM(G30+G40+G41+G42+G43+G44+G45+G46+G47+G48)</f>
        <v>16485355</v>
      </c>
      <c r="H29" s="541">
        <f>SUM(H30+H40+H41+H42+H43+H44+H45+H46+H47+H48)</f>
        <v>3003379</v>
      </c>
      <c r="I29" s="541">
        <f>SUM(I30+I40+I41+I42+I43+I44+I45+I46+I47+I48)</f>
        <v>0</v>
      </c>
      <c r="J29" s="541">
        <f>SUM(J30+J40+J41+J42+J43+J44+J45+J46+J47)</f>
        <v>11614510</v>
      </c>
      <c r="K29" s="541">
        <f>SUM(K30+K40+K41+K42+K43+K44+K45+K46+K47+K48)</f>
        <v>0</v>
      </c>
      <c r="L29" s="541">
        <f>SUM(L30+L40+L41+L42+L43+L44+L45+L46+L47)</f>
        <v>0</v>
      </c>
      <c r="M29" s="541">
        <f>SUM(M30+M40+M41+M42+M43+M44+M45+M46+M47+M48)</f>
        <v>0</v>
      </c>
      <c r="N29" s="541">
        <f>SUM(N30+N40+N41+N42+N43+N44+N45+N46+N47+N48)</f>
        <v>0</v>
      </c>
      <c r="O29" s="541">
        <f>SUM(O30+O40+O41+O42+O43+O44+O45+O46+O47)</f>
        <v>0</v>
      </c>
      <c r="P29" s="541">
        <f>SUM(P30+P40+P41+P42+P43+P44+P45+P46+P47)</f>
        <v>1867466</v>
      </c>
      <c r="Q29" s="541">
        <f>SUM(Q30+Q40+Q41+Q42+Q43+Q44+Q45+Q46+Q47)</f>
        <v>1867466</v>
      </c>
      <c r="R29" s="541">
        <f>SUM(R30+R40+R41+R42+R43+R44+R45+R46+R47)</f>
        <v>0</v>
      </c>
      <c r="S29" s="542">
        <f>SUM(S30+S40+S41+S42+S43+S44+S45+S46+S47+S48+S49)</f>
        <v>0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</row>
    <row r="30" spans="1:49" s="47" customFormat="1" ht="27.6" customHeight="1" x14ac:dyDescent="0.25">
      <c r="A30" s="206" t="s">
        <v>56</v>
      </c>
      <c r="B30" s="1988" t="s">
        <v>188</v>
      </c>
      <c r="C30" s="1988"/>
      <c r="D30" s="1988"/>
      <c r="E30" s="1989"/>
      <c r="F30" s="582">
        <f>SUM(F31:F39)</f>
        <v>0</v>
      </c>
      <c r="G30" s="550">
        <f>SUM(G31:G39)</f>
        <v>16021390</v>
      </c>
      <c r="H30" s="538">
        <f>SUM(H31:H39)</f>
        <v>2746756</v>
      </c>
      <c r="I30" s="538">
        <f t="shared" ref="I30:S30" si="0">SUM(I31:I39)</f>
        <v>0</v>
      </c>
      <c r="J30" s="538">
        <f t="shared" si="0"/>
        <v>11614510</v>
      </c>
      <c r="K30" s="538">
        <f t="shared" si="0"/>
        <v>0</v>
      </c>
      <c r="L30" s="538">
        <f t="shared" si="0"/>
        <v>0</v>
      </c>
      <c r="M30" s="538">
        <f t="shared" si="0"/>
        <v>0</v>
      </c>
      <c r="N30" s="538">
        <f>SUM(N31:N39)</f>
        <v>0</v>
      </c>
      <c r="O30" s="538">
        <f>SUM(O31:O39)</f>
        <v>0</v>
      </c>
      <c r="P30" s="538">
        <f>SUM(P31:P39)</f>
        <v>1660124</v>
      </c>
      <c r="Q30" s="538">
        <f>SUM(Q31:Q39)</f>
        <v>1660124</v>
      </c>
      <c r="R30" s="538">
        <f>SUM(R31:R39)</f>
        <v>0</v>
      </c>
      <c r="S30" s="540">
        <f t="shared" si="0"/>
        <v>0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</row>
    <row r="31" spans="1:49" s="47" customFormat="1" ht="29.65" customHeight="1" x14ac:dyDescent="0.25">
      <c r="A31" s="28" t="s">
        <v>58</v>
      </c>
      <c r="B31" s="2010" t="s">
        <v>19</v>
      </c>
      <c r="C31" s="2010"/>
      <c r="D31" s="2010"/>
      <c r="E31" s="2011"/>
      <c r="F31" s="583">
        <v>0</v>
      </c>
      <c r="G31" s="550">
        <f>SUM(H31,I31,J31,K31,L31,S31,M31+P31-'Звіт Пацієнт '!J27)</f>
        <v>13708428</v>
      </c>
      <c r="H31" s="539">
        <v>819772</v>
      </c>
      <c r="I31" s="539">
        <v>0</v>
      </c>
      <c r="J31" s="539">
        <v>11614510</v>
      </c>
      <c r="K31" s="539">
        <v>0</v>
      </c>
      <c r="L31" s="539">
        <v>0</v>
      </c>
      <c r="M31" s="538">
        <f t="shared" ref="M31:M47" si="1">N31+O31</f>
        <v>0</v>
      </c>
      <c r="N31" s="539">
        <v>0</v>
      </c>
      <c r="O31" s="538">
        <f>'Звіт Пацієнт '!F27+'Звіт Пацієнт '!G27</f>
        <v>0</v>
      </c>
      <c r="P31" s="538">
        <f t="shared" ref="P31:P47" si="2">Q31+R31</f>
        <v>1274146</v>
      </c>
      <c r="Q31" s="539">
        <v>1274146</v>
      </c>
      <c r="R31" s="538">
        <f>'Звіт Пацієнт '!H27</f>
        <v>0</v>
      </c>
      <c r="S31" s="411">
        <v>0</v>
      </c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</row>
    <row r="32" spans="1:49" s="47" customFormat="1" ht="30.6" customHeight="1" x14ac:dyDescent="0.25">
      <c r="A32" s="26" t="s">
        <v>59</v>
      </c>
      <c r="B32" s="2010" t="s">
        <v>2031</v>
      </c>
      <c r="C32" s="2010"/>
      <c r="D32" s="2010"/>
      <c r="E32" s="2011"/>
      <c r="F32" s="583">
        <v>0</v>
      </c>
      <c r="G32" s="550">
        <f>SUM(H32,I32,J32,K32,L32,S32,M32+P32-'Звіт Пацієнт '!J28)</f>
        <v>70233</v>
      </c>
      <c r="H32" s="539">
        <v>33596</v>
      </c>
      <c r="I32" s="539">
        <v>0</v>
      </c>
      <c r="J32" s="539">
        <v>0</v>
      </c>
      <c r="K32" s="539">
        <v>0</v>
      </c>
      <c r="L32" s="539">
        <v>0</v>
      </c>
      <c r="M32" s="538">
        <f t="shared" si="1"/>
        <v>0</v>
      </c>
      <c r="N32" s="539">
        <v>0</v>
      </c>
      <c r="O32" s="538">
        <f>'Звіт Пацієнт '!F28+'Звіт Пацієнт '!G28</f>
        <v>0</v>
      </c>
      <c r="P32" s="538">
        <f t="shared" si="2"/>
        <v>36637</v>
      </c>
      <c r="Q32" s="539">
        <v>36637</v>
      </c>
      <c r="R32" s="538">
        <f>'Звіт Пацієнт '!H28</f>
        <v>0</v>
      </c>
      <c r="S32" s="411">
        <v>0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</row>
    <row r="33" spans="1:49" s="47" customFormat="1" ht="58.5" customHeight="1" x14ac:dyDescent="0.25">
      <c r="A33" s="28" t="s">
        <v>60</v>
      </c>
      <c r="B33" s="2010" t="s">
        <v>91</v>
      </c>
      <c r="C33" s="2010"/>
      <c r="D33" s="2010"/>
      <c r="E33" s="2011"/>
      <c r="F33" s="583">
        <v>0</v>
      </c>
      <c r="G33" s="550">
        <f>SUM(H33,I33,J33,K33,L33,S33,M33+P33-'Звіт Пацієнт '!J29)</f>
        <v>0</v>
      </c>
      <c r="H33" s="539">
        <v>0</v>
      </c>
      <c r="I33" s="539">
        <v>0</v>
      </c>
      <c r="J33" s="539">
        <v>0</v>
      </c>
      <c r="K33" s="539">
        <v>0</v>
      </c>
      <c r="L33" s="539">
        <v>0</v>
      </c>
      <c r="M33" s="538">
        <f t="shared" si="1"/>
        <v>0</v>
      </c>
      <c r="N33" s="539">
        <v>0</v>
      </c>
      <c r="O33" s="538">
        <f>'Звіт Пацієнт '!F29+'Звіт Пацієнт '!G29</f>
        <v>0</v>
      </c>
      <c r="P33" s="538">
        <f t="shared" si="2"/>
        <v>0</v>
      </c>
      <c r="Q33" s="539">
        <v>0</v>
      </c>
      <c r="R33" s="538">
        <f>'Звіт Пацієнт '!H29</f>
        <v>0</v>
      </c>
      <c r="S33" s="411">
        <v>0</v>
      </c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</row>
    <row r="34" spans="1:49" s="47" customFormat="1" ht="30" customHeight="1" x14ac:dyDescent="0.25">
      <c r="A34" s="28" t="s">
        <v>82</v>
      </c>
      <c r="B34" s="2010" t="s">
        <v>906</v>
      </c>
      <c r="C34" s="2010"/>
      <c r="D34" s="2010"/>
      <c r="E34" s="2011"/>
      <c r="F34" s="583">
        <v>0</v>
      </c>
      <c r="G34" s="550">
        <f>SUM(H34,I34,J34,K34,L34,S34,M34+P34-'Звіт Пацієнт '!J30)</f>
        <v>0</v>
      </c>
      <c r="H34" s="539">
        <v>0</v>
      </c>
      <c r="I34" s="539">
        <v>0</v>
      </c>
      <c r="J34" s="539">
        <v>0</v>
      </c>
      <c r="K34" s="539">
        <v>0</v>
      </c>
      <c r="L34" s="539">
        <v>0</v>
      </c>
      <c r="M34" s="538">
        <f t="shared" si="1"/>
        <v>0</v>
      </c>
      <c r="N34" s="539">
        <v>0</v>
      </c>
      <c r="O34" s="538">
        <f>'Звіт Пацієнт '!F30+'Звіт Пацієнт '!G30</f>
        <v>0</v>
      </c>
      <c r="P34" s="538">
        <f t="shared" si="2"/>
        <v>0</v>
      </c>
      <c r="Q34" s="539">
        <v>0</v>
      </c>
      <c r="R34" s="538">
        <f>'Звіт Пацієнт '!H30</f>
        <v>0</v>
      </c>
      <c r="S34" s="411">
        <v>0</v>
      </c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</row>
    <row r="35" spans="1:49" s="47" customFormat="1" ht="30" customHeight="1" x14ac:dyDescent="0.25">
      <c r="A35" s="28" t="s">
        <v>83</v>
      </c>
      <c r="B35" s="2010" t="s">
        <v>907</v>
      </c>
      <c r="C35" s="2010"/>
      <c r="D35" s="2010"/>
      <c r="E35" s="2011"/>
      <c r="F35" s="583">
        <v>0</v>
      </c>
      <c r="G35" s="550">
        <f>SUM(H35,I35,J35,K35,L35,S35,M35+P35-'Звіт Пацієнт '!J31)</f>
        <v>0</v>
      </c>
      <c r="H35" s="539">
        <v>0</v>
      </c>
      <c r="I35" s="539">
        <v>0</v>
      </c>
      <c r="J35" s="539">
        <v>0</v>
      </c>
      <c r="K35" s="539">
        <v>0</v>
      </c>
      <c r="L35" s="539">
        <v>0</v>
      </c>
      <c r="M35" s="538">
        <f t="shared" si="1"/>
        <v>0</v>
      </c>
      <c r="N35" s="539">
        <v>0</v>
      </c>
      <c r="O35" s="538">
        <f>'Звіт Пацієнт '!F31+'Звіт Пацієнт '!G31</f>
        <v>0</v>
      </c>
      <c r="P35" s="538">
        <f t="shared" si="2"/>
        <v>0</v>
      </c>
      <c r="Q35" s="539">
        <v>0</v>
      </c>
      <c r="R35" s="538">
        <f>'Звіт Пацієнт '!H31</f>
        <v>0</v>
      </c>
      <c r="S35" s="411">
        <v>0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</row>
    <row r="36" spans="1:49" s="47" customFormat="1" ht="30" customHeight="1" x14ac:dyDescent="0.25">
      <c r="A36" s="28" t="s">
        <v>901</v>
      </c>
      <c r="B36" s="2010" t="s">
        <v>902</v>
      </c>
      <c r="C36" s="2010"/>
      <c r="D36" s="2010"/>
      <c r="E36" s="2011"/>
      <c r="F36" s="583">
        <v>0</v>
      </c>
      <c r="G36" s="550">
        <f>SUM(H36,I36,J36,K36,L36,S36,M36+P36-'Звіт Пацієнт '!J32)</f>
        <v>259559</v>
      </c>
      <c r="H36" s="539">
        <v>250762</v>
      </c>
      <c r="I36" s="539">
        <v>0</v>
      </c>
      <c r="J36" s="539">
        <v>0</v>
      </c>
      <c r="K36" s="539">
        <v>0</v>
      </c>
      <c r="L36" s="539">
        <v>0</v>
      </c>
      <c r="M36" s="538">
        <f t="shared" si="1"/>
        <v>0</v>
      </c>
      <c r="N36" s="539">
        <v>0</v>
      </c>
      <c r="O36" s="538">
        <f>'Звіт Пацієнт '!F32+'Звіт Пацієнт '!G32</f>
        <v>0</v>
      </c>
      <c r="P36" s="538">
        <f t="shared" si="2"/>
        <v>8797</v>
      </c>
      <c r="Q36" s="539">
        <v>8797</v>
      </c>
      <c r="R36" s="538">
        <f>'Звіт Пацієнт '!H32</f>
        <v>0</v>
      </c>
      <c r="S36" s="411">
        <v>0</v>
      </c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</row>
    <row r="37" spans="1:49" s="47" customFormat="1" ht="30" customHeight="1" x14ac:dyDescent="0.25">
      <c r="A37" s="28" t="s">
        <v>903</v>
      </c>
      <c r="B37" s="2010" t="s">
        <v>304</v>
      </c>
      <c r="C37" s="2010"/>
      <c r="D37" s="2010"/>
      <c r="E37" s="2011"/>
      <c r="F37" s="583">
        <v>0</v>
      </c>
      <c r="G37" s="550">
        <f>SUM(H37,I37,J37,K37,L37,S37,M37+P37-'Звіт Пацієнт '!J33)</f>
        <v>704134</v>
      </c>
      <c r="H37" s="539">
        <v>428094</v>
      </c>
      <c r="I37" s="539">
        <v>0</v>
      </c>
      <c r="J37" s="539">
        <v>0</v>
      </c>
      <c r="K37" s="539">
        <v>0</v>
      </c>
      <c r="L37" s="539">
        <v>0</v>
      </c>
      <c r="M37" s="538">
        <f t="shared" si="1"/>
        <v>0</v>
      </c>
      <c r="N37" s="539">
        <v>0</v>
      </c>
      <c r="O37" s="538">
        <f>'Звіт Пацієнт '!F33+'Звіт Пацієнт '!G33</f>
        <v>0</v>
      </c>
      <c r="P37" s="538">
        <f t="shared" si="2"/>
        <v>276040</v>
      </c>
      <c r="Q37" s="539">
        <v>276040</v>
      </c>
      <c r="R37" s="538">
        <f>'Звіт Пацієнт '!H33</f>
        <v>0</v>
      </c>
      <c r="S37" s="411">
        <v>0</v>
      </c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</row>
    <row r="38" spans="1:49" s="47" customFormat="1" ht="30" customHeight="1" x14ac:dyDescent="0.25">
      <c r="A38" s="28" t="s">
        <v>905</v>
      </c>
      <c r="B38" s="2010" t="s">
        <v>904</v>
      </c>
      <c r="C38" s="2010"/>
      <c r="D38" s="2010"/>
      <c r="E38" s="2011"/>
      <c r="F38" s="583">
        <v>0</v>
      </c>
      <c r="G38" s="550">
        <f>SUM(H38,I38,J38,K38,L38,S38,M38+P38-'Звіт Пацієнт '!J34)</f>
        <v>1279036</v>
      </c>
      <c r="H38" s="539">
        <v>1214532</v>
      </c>
      <c r="I38" s="539">
        <v>0</v>
      </c>
      <c r="J38" s="539">
        <v>0</v>
      </c>
      <c r="K38" s="539">
        <v>0</v>
      </c>
      <c r="L38" s="539">
        <v>0</v>
      </c>
      <c r="M38" s="538">
        <f t="shared" si="1"/>
        <v>0</v>
      </c>
      <c r="N38" s="539">
        <v>0</v>
      </c>
      <c r="O38" s="538">
        <f>'Звіт Пацієнт '!F34+'Звіт Пацієнт '!G34</f>
        <v>0</v>
      </c>
      <c r="P38" s="538">
        <f t="shared" si="2"/>
        <v>64504</v>
      </c>
      <c r="Q38" s="539">
        <v>64504</v>
      </c>
      <c r="R38" s="538">
        <f>'Звіт Пацієнт '!H34</f>
        <v>0</v>
      </c>
      <c r="S38" s="411">
        <v>0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</row>
    <row r="39" spans="1:49" s="47" customFormat="1" ht="25.9" customHeight="1" x14ac:dyDescent="0.25">
      <c r="A39" s="28" t="s">
        <v>908</v>
      </c>
      <c r="B39" s="2019" t="s">
        <v>51</v>
      </c>
      <c r="C39" s="2019"/>
      <c r="D39" s="2019"/>
      <c r="E39" s="2020"/>
      <c r="F39" s="583">
        <v>0</v>
      </c>
      <c r="G39" s="550">
        <f>SUM(H39,I39,J39,K39,L39,S39,M39+P39-'Звіт Пацієнт '!J35)</f>
        <v>0</v>
      </c>
      <c r="H39" s="539">
        <v>0</v>
      </c>
      <c r="I39" s="539">
        <v>0</v>
      </c>
      <c r="J39" s="539">
        <v>0</v>
      </c>
      <c r="K39" s="539">
        <v>0</v>
      </c>
      <c r="L39" s="539">
        <v>0</v>
      </c>
      <c r="M39" s="538">
        <f t="shared" si="1"/>
        <v>0</v>
      </c>
      <c r="N39" s="539">
        <v>0</v>
      </c>
      <c r="O39" s="538">
        <f>'Звіт Пацієнт '!F35+'Звіт Пацієнт '!G35</f>
        <v>0</v>
      </c>
      <c r="P39" s="538">
        <f t="shared" si="2"/>
        <v>0</v>
      </c>
      <c r="Q39" s="539">
        <v>0</v>
      </c>
      <c r="R39" s="538">
        <f>'Звіт Пацієнт '!H35</f>
        <v>0</v>
      </c>
      <c r="S39" s="411">
        <v>0</v>
      </c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</row>
    <row r="40" spans="1:49" s="47" customFormat="1" ht="31.35" customHeight="1" x14ac:dyDescent="0.25">
      <c r="A40" s="206" t="s">
        <v>57</v>
      </c>
      <c r="B40" s="1988" t="s">
        <v>47</v>
      </c>
      <c r="C40" s="1988"/>
      <c r="D40" s="1988"/>
      <c r="E40" s="1989"/>
      <c r="F40" s="583">
        <v>0</v>
      </c>
      <c r="G40" s="550">
        <f>SUM(H40,I40,J40,K40,L40,S40,M40+P40-'Звіт Пацієнт '!J36)</f>
        <v>0</v>
      </c>
      <c r="H40" s="539">
        <v>0</v>
      </c>
      <c r="I40" s="539">
        <v>0</v>
      </c>
      <c r="J40" s="539">
        <v>0</v>
      </c>
      <c r="K40" s="539">
        <v>0</v>
      </c>
      <c r="L40" s="539">
        <v>0</v>
      </c>
      <c r="M40" s="538">
        <f t="shared" si="1"/>
        <v>0</v>
      </c>
      <c r="N40" s="539">
        <v>0</v>
      </c>
      <c r="O40" s="538">
        <f>'Звіт Пацієнт '!F36+'Звіт Пацієнт '!G36</f>
        <v>0</v>
      </c>
      <c r="P40" s="538">
        <f t="shared" si="2"/>
        <v>0</v>
      </c>
      <c r="Q40" s="539">
        <v>0</v>
      </c>
      <c r="R40" s="538">
        <f>'Звіт Пацієнт '!H36</f>
        <v>0</v>
      </c>
      <c r="S40" s="411">
        <v>0</v>
      </c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</row>
    <row r="41" spans="1:49" s="47" customFormat="1" ht="28.9" customHeight="1" x14ac:dyDescent="0.25">
      <c r="A41" s="206" t="s">
        <v>61</v>
      </c>
      <c r="B41" s="1988" t="s">
        <v>360</v>
      </c>
      <c r="C41" s="1988"/>
      <c r="D41" s="1988"/>
      <c r="E41" s="1989"/>
      <c r="F41" s="583">
        <v>0</v>
      </c>
      <c r="G41" s="550">
        <f>SUM(H41,I41,J41,K41,L41,S41,M41+P41-'Звіт Пацієнт '!J37)</f>
        <v>186700</v>
      </c>
      <c r="H41" s="539">
        <v>84895</v>
      </c>
      <c r="I41" s="539">
        <v>0</v>
      </c>
      <c r="J41" s="539">
        <v>0</v>
      </c>
      <c r="K41" s="539">
        <v>0</v>
      </c>
      <c r="L41" s="539">
        <v>0</v>
      </c>
      <c r="M41" s="538">
        <f t="shared" si="1"/>
        <v>0</v>
      </c>
      <c r="N41" s="539">
        <v>0</v>
      </c>
      <c r="O41" s="538">
        <f>'Звіт Пацієнт '!F37+'Звіт Пацієнт '!G37</f>
        <v>0</v>
      </c>
      <c r="P41" s="538">
        <f t="shared" si="2"/>
        <v>101805</v>
      </c>
      <c r="Q41" s="539">
        <v>101805</v>
      </c>
      <c r="R41" s="538">
        <f>'Звіт Пацієнт '!H37</f>
        <v>0</v>
      </c>
      <c r="S41" s="411">
        <v>0</v>
      </c>
      <c r="T41" s="81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</row>
    <row r="42" spans="1:49" s="47" customFormat="1" ht="27" customHeight="1" x14ac:dyDescent="0.25">
      <c r="A42" s="206" t="s">
        <v>62</v>
      </c>
      <c r="B42" s="1988" t="s">
        <v>48</v>
      </c>
      <c r="C42" s="1988"/>
      <c r="D42" s="1988"/>
      <c r="E42" s="1989"/>
      <c r="F42" s="583">
        <v>0</v>
      </c>
      <c r="G42" s="550">
        <f>SUM(H42,I42,J42,K42,L42,S42,M42+P42-'Звіт Пацієнт '!J38)</f>
        <v>0</v>
      </c>
      <c r="H42" s="539">
        <v>0</v>
      </c>
      <c r="I42" s="539">
        <v>0</v>
      </c>
      <c r="J42" s="539">
        <v>0</v>
      </c>
      <c r="K42" s="539">
        <v>0</v>
      </c>
      <c r="L42" s="539">
        <v>0</v>
      </c>
      <c r="M42" s="538">
        <f t="shared" si="1"/>
        <v>0</v>
      </c>
      <c r="N42" s="539">
        <v>0</v>
      </c>
      <c r="O42" s="538">
        <f>'Звіт Пацієнт '!F38+'Звіт Пацієнт '!G38</f>
        <v>0</v>
      </c>
      <c r="P42" s="538">
        <f t="shared" si="2"/>
        <v>0</v>
      </c>
      <c r="Q42" s="539">
        <v>0</v>
      </c>
      <c r="R42" s="538">
        <f>'Звіт Пацієнт '!H38</f>
        <v>0</v>
      </c>
      <c r="S42" s="411">
        <v>0</v>
      </c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</row>
    <row r="43" spans="1:49" s="47" customFormat="1" ht="24" customHeight="1" x14ac:dyDescent="0.25">
      <c r="A43" s="206" t="s">
        <v>63</v>
      </c>
      <c r="B43" s="1988" t="s">
        <v>21</v>
      </c>
      <c r="C43" s="1988"/>
      <c r="D43" s="1988"/>
      <c r="E43" s="1989"/>
      <c r="F43" s="583">
        <v>0</v>
      </c>
      <c r="G43" s="550">
        <f>SUM(H43,I43,J43,K43,L43,S43,M43+P43-'Звіт Пацієнт '!J39)</f>
        <v>72392</v>
      </c>
      <c r="H43" s="539">
        <v>66279</v>
      </c>
      <c r="I43" s="539">
        <v>0</v>
      </c>
      <c r="J43" s="539">
        <v>0</v>
      </c>
      <c r="K43" s="539">
        <v>0</v>
      </c>
      <c r="L43" s="539">
        <v>0</v>
      </c>
      <c r="M43" s="538">
        <f t="shared" si="1"/>
        <v>0</v>
      </c>
      <c r="N43" s="539">
        <v>0</v>
      </c>
      <c r="O43" s="538">
        <f>'Звіт Пацієнт '!F39+'Звіт Пацієнт '!G39</f>
        <v>0</v>
      </c>
      <c r="P43" s="538">
        <f t="shared" si="2"/>
        <v>6113</v>
      </c>
      <c r="Q43" s="539">
        <v>6113</v>
      </c>
      <c r="R43" s="538">
        <f>'Звіт Пацієнт '!H39</f>
        <v>0</v>
      </c>
      <c r="S43" s="411">
        <v>0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</row>
    <row r="44" spans="1:49" s="47" customFormat="1" ht="27" customHeight="1" x14ac:dyDescent="0.25">
      <c r="A44" s="206" t="s">
        <v>64</v>
      </c>
      <c r="B44" s="1988" t="s">
        <v>49</v>
      </c>
      <c r="C44" s="1988"/>
      <c r="D44" s="1988"/>
      <c r="E44" s="1989"/>
      <c r="F44" s="583">
        <v>0</v>
      </c>
      <c r="G44" s="550">
        <f>SUM(H44,I44,J44,K44,L44,S44,M44+P44-'Звіт Пацієнт '!J40)</f>
        <v>0</v>
      </c>
      <c r="H44" s="539">
        <v>0</v>
      </c>
      <c r="I44" s="539">
        <v>0</v>
      </c>
      <c r="J44" s="539">
        <v>0</v>
      </c>
      <c r="K44" s="539">
        <v>0</v>
      </c>
      <c r="L44" s="539">
        <v>0</v>
      </c>
      <c r="M44" s="538">
        <f t="shared" si="1"/>
        <v>0</v>
      </c>
      <c r="N44" s="539">
        <v>0</v>
      </c>
      <c r="O44" s="538">
        <f>'Звіт Пацієнт '!F40+'Звіт Пацієнт '!G40</f>
        <v>0</v>
      </c>
      <c r="P44" s="538">
        <f t="shared" si="2"/>
        <v>0</v>
      </c>
      <c r="Q44" s="539">
        <v>0</v>
      </c>
      <c r="R44" s="538">
        <f>'Звіт Пацієнт '!H40</f>
        <v>0</v>
      </c>
      <c r="S44" s="411">
        <v>0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</row>
    <row r="45" spans="1:49" s="47" customFormat="1" ht="24.6" customHeight="1" x14ac:dyDescent="0.25">
      <c r="A45" s="206" t="s">
        <v>65</v>
      </c>
      <c r="B45" s="1988" t="s">
        <v>50</v>
      </c>
      <c r="C45" s="1988"/>
      <c r="D45" s="1988"/>
      <c r="E45" s="1989"/>
      <c r="F45" s="583">
        <v>0</v>
      </c>
      <c r="G45" s="550">
        <f>SUM(H45,I45,J45,K45,L45,S45,M45+P45-'Звіт Пацієнт '!J41)</f>
        <v>122026</v>
      </c>
      <c r="H45" s="539">
        <v>39026</v>
      </c>
      <c r="I45" s="539">
        <v>0</v>
      </c>
      <c r="J45" s="539">
        <v>0</v>
      </c>
      <c r="K45" s="539">
        <v>0</v>
      </c>
      <c r="L45" s="539">
        <v>0</v>
      </c>
      <c r="M45" s="538">
        <f t="shared" si="1"/>
        <v>0</v>
      </c>
      <c r="N45" s="539">
        <v>0</v>
      </c>
      <c r="O45" s="538">
        <f>'Звіт Пацієнт '!F41+'Звіт Пацієнт '!G41</f>
        <v>0</v>
      </c>
      <c r="P45" s="538">
        <f t="shared" si="2"/>
        <v>83000</v>
      </c>
      <c r="Q45" s="539">
        <v>83000</v>
      </c>
      <c r="R45" s="538">
        <f>'Звіт Пацієнт '!H41</f>
        <v>0</v>
      </c>
      <c r="S45" s="411">
        <v>0</v>
      </c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</row>
    <row r="46" spans="1:49" ht="31.35" customHeight="1" x14ac:dyDescent="0.25">
      <c r="A46" s="206" t="s">
        <v>66</v>
      </c>
      <c r="B46" s="1988" t="s">
        <v>323</v>
      </c>
      <c r="C46" s="1988"/>
      <c r="D46" s="1988"/>
      <c r="E46" s="1989"/>
      <c r="F46" s="583">
        <v>0</v>
      </c>
      <c r="G46" s="550">
        <f>SUM(H46,I46,J46,K46,L46,S46,M46+P46-'Звіт Пацієнт '!J42)</f>
        <v>0</v>
      </c>
      <c r="H46" s="539">
        <v>0</v>
      </c>
      <c r="I46" s="539">
        <v>0</v>
      </c>
      <c r="J46" s="539">
        <v>0</v>
      </c>
      <c r="K46" s="539">
        <v>0</v>
      </c>
      <c r="L46" s="539">
        <v>0</v>
      </c>
      <c r="M46" s="538">
        <f t="shared" si="1"/>
        <v>0</v>
      </c>
      <c r="N46" s="539">
        <v>0</v>
      </c>
      <c r="O46" s="538">
        <f>'Звіт Пацієнт '!F42+'Звіт Пацієнт '!G42</f>
        <v>0</v>
      </c>
      <c r="P46" s="538">
        <f t="shared" si="2"/>
        <v>0</v>
      </c>
      <c r="Q46" s="539">
        <v>0</v>
      </c>
      <c r="R46" s="538">
        <f>'Звіт Пацієнт '!H42</f>
        <v>0</v>
      </c>
      <c r="S46" s="411">
        <v>0</v>
      </c>
    </row>
    <row r="47" spans="1:49" ht="27" customHeight="1" x14ac:dyDescent="0.25">
      <c r="A47" s="206" t="s">
        <v>67</v>
      </c>
      <c r="B47" s="1988" t="s">
        <v>51</v>
      </c>
      <c r="C47" s="1988"/>
      <c r="D47" s="1988"/>
      <c r="E47" s="1989"/>
      <c r="F47" s="583">
        <v>0</v>
      </c>
      <c r="G47" s="550">
        <f>SUM(H47,I47,J47,K47,L47,S47,M47+P47-'Звіт Пацієнт '!J43)</f>
        <v>82847</v>
      </c>
      <c r="H47" s="539">
        <v>66423</v>
      </c>
      <c r="I47" s="539">
        <v>0</v>
      </c>
      <c r="J47" s="539">
        <v>0</v>
      </c>
      <c r="K47" s="539">
        <v>0</v>
      </c>
      <c r="L47" s="539">
        <v>0</v>
      </c>
      <c r="M47" s="538">
        <f t="shared" si="1"/>
        <v>0</v>
      </c>
      <c r="N47" s="539">
        <v>0</v>
      </c>
      <c r="O47" s="538">
        <f>'Звіт Пацієнт '!F43+'Звіт Пацієнт '!G43</f>
        <v>0</v>
      </c>
      <c r="P47" s="538">
        <f t="shared" si="2"/>
        <v>16424</v>
      </c>
      <c r="Q47" s="539">
        <v>16424</v>
      </c>
      <c r="R47" s="538">
        <f>'Звіт Пацієнт '!H43</f>
        <v>0</v>
      </c>
      <c r="S47" s="411">
        <v>0</v>
      </c>
    </row>
    <row r="48" spans="1:49" ht="30.6" customHeight="1" x14ac:dyDescent="0.25">
      <c r="A48" s="206" t="s">
        <v>724</v>
      </c>
      <c r="B48" s="1988" t="s">
        <v>689</v>
      </c>
      <c r="C48" s="1988"/>
      <c r="D48" s="1988"/>
      <c r="E48" s="1989"/>
      <c r="F48" s="584">
        <v>0</v>
      </c>
      <c r="G48" s="550">
        <f>H48+I48+K48+N48+S48</f>
        <v>0</v>
      </c>
      <c r="H48" s="539">
        <v>0</v>
      </c>
      <c r="I48" s="539">
        <v>0</v>
      </c>
      <c r="J48" s="538" t="s">
        <v>280</v>
      </c>
      <c r="K48" s="539">
        <v>0</v>
      </c>
      <c r="L48" s="538" t="s">
        <v>280</v>
      </c>
      <c r="M48" s="538">
        <f>N48</f>
        <v>0</v>
      </c>
      <c r="N48" s="539">
        <v>0</v>
      </c>
      <c r="O48" s="538" t="s">
        <v>280</v>
      </c>
      <c r="P48" s="538" t="s">
        <v>280</v>
      </c>
      <c r="Q48" s="538" t="s">
        <v>280</v>
      </c>
      <c r="R48" s="538" t="s">
        <v>280</v>
      </c>
      <c r="S48" s="411">
        <v>0</v>
      </c>
    </row>
    <row r="49" spans="1:49" ht="30.6" customHeight="1" thickBot="1" x14ac:dyDescent="0.3">
      <c r="A49" s="257" t="s">
        <v>725</v>
      </c>
      <c r="B49" s="2002" t="s">
        <v>688</v>
      </c>
      <c r="C49" s="2002"/>
      <c r="D49" s="2002"/>
      <c r="E49" s="2003"/>
      <c r="F49" s="585">
        <v>0</v>
      </c>
      <c r="G49" s="551">
        <f>S49</f>
        <v>0</v>
      </c>
      <c r="H49" s="1466" t="s">
        <v>280</v>
      </c>
      <c r="I49" s="1466" t="s">
        <v>280</v>
      </c>
      <c r="J49" s="1466" t="s">
        <v>280</v>
      </c>
      <c r="K49" s="1466" t="s">
        <v>280</v>
      </c>
      <c r="L49" s="1466" t="s">
        <v>280</v>
      </c>
      <c r="M49" s="1466" t="s">
        <v>280</v>
      </c>
      <c r="N49" s="1466" t="s">
        <v>280</v>
      </c>
      <c r="O49" s="1466" t="s">
        <v>280</v>
      </c>
      <c r="P49" s="1466" t="s">
        <v>280</v>
      </c>
      <c r="Q49" s="1466" t="s">
        <v>280</v>
      </c>
      <c r="R49" s="1466" t="s">
        <v>280</v>
      </c>
      <c r="S49" s="412">
        <v>0</v>
      </c>
    </row>
    <row r="50" spans="1:49" ht="30.6" customHeight="1" x14ac:dyDescent="0.25">
      <c r="A50" s="1649" t="s">
        <v>2036</v>
      </c>
      <c r="B50" s="472"/>
      <c r="C50" s="472"/>
      <c r="D50" s="472"/>
      <c r="E50" s="472"/>
      <c r="F50" s="141"/>
      <c r="G50" s="1648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29"/>
    </row>
    <row r="51" spans="1:49" ht="30.6" customHeight="1" x14ac:dyDescent="0.25">
      <c r="A51" s="138" t="s">
        <v>2032</v>
      </c>
      <c r="B51" s="472"/>
      <c r="C51" s="472"/>
      <c r="D51" s="472"/>
      <c r="E51" s="472"/>
      <c r="F51" s="141"/>
      <c r="G51" s="141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29"/>
    </row>
    <row r="52" spans="1:49" s="12" customFormat="1" ht="30.6" customHeight="1" x14ac:dyDescent="0.3">
      <c r="A52" s="474" t="s">
        <v>505</v>
      </c>
      <c r="B52" s="474"/>
      <c r="C52" s="475"/>
      <c r="D52" s="374"/>
      <c r="E52" s="374"/>
      <c r="F52" s="374"/>
      <c r="G52" s="2"/>
      <c r="H52" s="2"/>
      <c r="I52" s="76"/>
      <c r="J52" s="76"/>
      <c r="K52" s="79"/>
      <c r="L52" s="79"/>
      <c r="M52" s="79"/>
      <c r="N52" s="79"/>
      <c r="O52" s="1482" t="s">
        <v>248</v>
      </c>
      <c r="P52" s="100"/>
      <c r="Q52" s="100"/>
      <c r="R52" s="100"/>
      <c r="S52" s="13"/>
      <c r="T52" s="104"/>
      <c r="U52" s="77"/>
      <c r="V52" s="77"/>
      <c r="W52" s="77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</row>
    <row r="53" spans="1:49" s="12" customFormat="1" ht="26.65" customHeight="1" x14ac:dyDescent="0.25">
      <c r="A53" s="162" t="s">
        <v>6</v>
      </c>
      <c r="B53" s="1956" t="s">
        <v>1932</v>
      </c>
      <c r="C53" s="1997"/>
      <c r="D53" s="1997"/>
      <c r="E53" s="1997"/>
      <c r="F53" s="1997"/>
      <c r="G53" s="1997"/>
      <c r="H53" s="1998"/>
      <c r="I53" s="1368" t="s">
        <v>591</v>
      </c>
      <c r="J53" s="2022" t="s">
        <v>1309</v>
      </c>
      <c r="K53" s="2022"/>
      <c r="L53" s="2022"/>
      <c r="M53" s="2022"/>
      <c r="N53" s="2022"/>
      <c r="O53" s="2022"/>
      <c r="P53" s="4"/>
      <c r="Q53" s="4"/>
      <c r="R53" s="4"/>
      <c r="S53" s="4"/>
      <c r="T53" s="104"/>
      <c r="U53" s="77"/>
      <c r="V53" s="77"/>
      <c r="W53" s="77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</row>
    <row r="54" spans="1:49" ht="20.25" customHeight="1" x14ac:dyDescent="0.25">
      <c r="A54" s="162">
        <v>1</v>
      </c>
      <c r="B54" s="1955">
        <v>2</v>
      </c>
      <c r="C54" s="1955"/>
      <c r="D54" s="1955"/>
      <c r="E54" s="1955"/>
      <c r="F54" s="1955"/>
      <c r="G54" s="1955"/>
      <c r="H54" s="1955"/>
      <c r="I54" s="162">
        <v>3</v>
      </c>
      <c r="J54" s="1454" t="s">
        <v>787</v>
      </c>
      <c r="K54" s="1454" t="s">
        <v>788</v>
      </c>
      <c r="L54" s="1454" t="s">
        <v>789</v>
      </c>
      <c r="M54" s="1454" t="s">
        <v>790</v>
      </c>
      <c r="N54" s="1454" t="s">
        <v>791</v>
      </c>
      <c r="O54" s="1454" t="s">
        <v>792</v>
      </c>
      <c r="P54" s="1478"/>
      <c r="Q54" s="1478"/>
      <c r="R54" s="1478"/>
      <c r="S54" s="1478"/>
      <c r="T54" s="104"/>
    </row>
    <row r="55" spans="1:49" ht="34.5" customHeight="1" x14ac:dyDescent="0.25">
      <c r="A55" s="71">
        <v>1</v>
      </c>
      <c r="B55" s="1974" t="s">
        <v>995</v>
      </c>
      <c r="C55" s="1974"/>
      <c r="D55" s="1974"/>
      <c r="E55" s="1974"/>
      <c r="F55" s="1974"/>
      <c r="G55" s="1974"/>
      <c r="H55" s="1974"/>
      <c r="I55" s="946">
        <f>SUM(I56,I57,I58,I59)</f>
        <v>21202</v>
      </c>
      <c r="J55" s="2022" t="s">
        <v>1310</v>
      </c>
      <c r="K55" s="2023" t="s">
        <v>1311</v>
      </c>
      <c r="L55" s="2023" t="s">
        <v>1312</v>
      </c>
      <c r="M55" s="2023" t="s">
        <v>1313</v>
      </c>
      <c r="N55" s="2023" t="s">
        <v>1314</v>
      </c>
      <c r="O55" s="2024" t="s">
        <v>710</v>
      </c>
      <c r="P55" s="13"/>
      <c r="Q55" s="1479"/>
      <c r="R55" s="1479"/>
      <c r="S55" s="4"/>
      <c r="T55" s="104"/>
    </row>
    <row r="56" spans="1:49" ht="27.75" customHeight="1" x14ac:dyDescent="0.25">
      <c r="A56" s="71">
        <v>2</v>
      </c>
      <c r="B56" s="2004" t="s">
        <v>10</v>
      </c>
      <c r="C56" s="2004"/>
      <c r="D56" s="2004"/>
      <c r="E56" s="2004"/>
      <c r="F56" s="2004"/>
      <c r="G56" s="2004"/>
      <c r="H56" s="2004"/>
      <c r="I56" s="51">
        <v>0</v>
      </c>
      <c r="J56" s="2022"/>
      <c r="K56" s="2023"/>
      <c r="L56" s="2023"/>
      <c r="M56" s="2023"/>
      <c r="N56" s="2023"/>
      <c r="O56" s="2024"/>
      <c r="P56" s="13"/>
      <c r="Q56" s="1480"/>
      <c r="R56" s="1480"/>
      <c r="S56" s="4"/>
      <c r="T56" s="104"/>
    </row>
    <row r="57" spans="1:49" ht="31.5" customHeight="1" x14ac:dyDescent="0.25">
      <c r="A57" s="71">
        <v>3</v>
      </c>
      <c r="B57" s="2004" t="s">
        <v>11</v>
      </c>
      <c r="C57" s="2004"/>
      <c r="D57" s="2004"/>
      <c r="E57" s="2004"/>
      <c r="F57" s="2004"/>
      <c r="G57" s="2004"/>
      <c r="H57" s="2004"/>
      <c r="I57" s="51">
        <v>0</v>
      </c>
      <c r="J57" s="2022"/>
      <c r="K57" s="2023"/>
      <c r="L57" s="2023"/>
      <c r="M57" s="2023"/>
      <c r="N57" s="2023"/>
      <c r="O57" s="2024"/>
      <c r="P57" s="13"/>
      <c r="Q57" s="1480"/>
      <c r="R57" s="1480"/>
      <c r="S57" s="4"/>
      <c r="T57" s="104"/>
    </row>
    <row r="58" spans="1:49" ht="28.5" customHeight="1" x14ac:dyDescent="0.25">
      <c r="A58" s="1368">
        <v>4</v>
      </c>
      <c r="B58" s="2004" t="s">
        <v>12</v>
      </c>
      <c r="C58" s="2004"/>
      <c r="D58" s="2004"/>
      <c r="E58" s="2004"/>
      <c r="F58" s="2004"/>
      <c r="G58" s="2004"/>
      <c r="H58" s="2004"/>
      <c r="I58" s="539">
        <v>0</v>
      </c>
      <c r="J58" s="2022"/>
      <c r="K58" s="2023"/>
      <c r="L58" s="2023"/>
      <c r="M58" s="2023"/>
      <c r="N58" s="2023"/>
      <c r="O58" s="2024"/>
      <c r="P58" s="13"/>
      <c r="Q58" s="1480"/>
      <c r="R58" s="1480"/>
      <c r="S58" s="4"/>
      <c r="T58" s="104"/>
    </row>
    <row r="59" spans="1:49" ht="27.75" customHeight="1" thickBot="1" x14ac:dyDescent="0.3">
      <c r="A59" s="1368">
        <v>5</v>
      </c>
      <c r="B59" s="2004" t="s">
        <v>1308</v>
      </c>
      <c r="C59" s="2004"/>
      <c r="D59" s="2004"/>
      <c r="E59" s="2004"/>
      <c r="F59" s="2004"/>
      <c r="G59" s="2004"/>
      <c r="H59" s="2004"/>
      <c r="I59" s="946">
        <f>SUM(J59:R59)</f>
        <v>21202</v>
      </c>
      <c r="J59" s="182">
        <v>0</v>
      </c>
      <c r="K59" s="1697">
        <v>0</v>
      </c>
      <c r="L59" s="1697">
        <v>0</v>
      </c>
      <c r="M59" s="1697">
        <v>0</v>
      </c>
      <c r="N59" s="1697">
        <v>0</v>
      </c>
      <c r="O59" s="1698">
        <v>21202</v>
      </c>
      <c r="P59" s="13"/>
      <c r="Q59" s="1481"/>
      <c r="R59" s="1481"/>
      <c r="S59" s="4"/>
      <c r="T59" s="104"/>
    </row>
    <row r="60" spans="1:49" ht="36" customHeight="1" x14ac:dyDescent="0.25">
      <c r="A60" s="2"/>
      <c r="M60" s="954"/>
      <c r="N60" s="954"/>
      <c r="O60" s="954"/>
    </row>
    <row r="61" spans="1:49" ht="29.25" customHeight="1" x14ac:dyDescent="0.25">
      <c r="A61" s="2"/>
      <c r="B61" s="1996" t="s">
        <v>0</v>
      </c>
      <c r="C61" s="1996"/>
      <c r="D61" s="2006" t="str">
        <f>D1</f>
        <v>02006707</v>
      </c>
      <c r="E61" s="2006"/>
      <c r="F61" s="1965" t="s">
        <v>1</v>
      </c>
      <c r="G61" s="1965"/>
      <c r="H61" s="227"/>
      <c r="I61" s="2"/>
      <c r="J61" s="227"/>
      <c r="K61" s="227"/>
      <c r="L61" s="1991" t="s">
        <v>314</v>
      </c>
      <c r="M61" s="1991"/>
      <c r="N61" s="1991"/>
      <c r="O61" s="1991"/>
    </row>
    <row r="62" spans="1:49" ht="30.75" customHeight="1" x14ac:dyDescent="0.25">
      <c r="A62" s="2"/>
      <c r="I62" s="2"/>
      <c r="J62" s="2"/>
      <c r="K62" s="2"/>
      <c r="L62" s="2"/>
      <c r="M62" s="2"/>
      <c r="N62" s="2"/>
      <c r="O62" s="136" t="s">
        <v>282</v>
      </c>
    </row>
    <row r="63" spans="1:49" ht="32.65" customHeight="1" x14ac:dyDescent="0.25">
      <c r="A63" s="2016" t="str">
        <f>A3</f>
        <v>ЗВІТ ПРО ДОХОДИ ТА ВИТРАТИ за 1 півріччя  2021 року</v>
      </c>
      <c r="B63" s="2016"/>
      <c r="C63" s="2016"/>
      <c r="D63" s="2016"/>
      <c r="E63" s="2016"/>
      <c r="F63" s="2016"/>
      <c r="G63" s="2016"/>
      <c r="H63" s="2016"/>
      <c r="I63" s="2016"/>
      <c r="J63" s="2016"/>
      <c r="K63" s="2016"/>
      <c r="L63" s="2016"/>
      <c r="M63" s="2016"/>
      <c r="N63" s="2016"/>
      <c r="O63" s="2016"/>
      <c r="P63" s="2016"/>
      <c r="Q63" s="2016"/>
      <c r="R63" s="2016"/>
      <c r="S63" s="2016"/>
    </row>
    <row r="64" spans="1:49" ht="32.65" customHeight="1" thickBot="1" x14ac:dyDescent="0.3">
      <c r="A64" s="2005" t="s">
        <v>443</v>
      </c>
      <c r="B64" s="2005"/>
      <c r="C64" s="2005"/>
      <c r="D64" s="2005"/>
      <c r="E64" s="2005"/>
      <c r="F64" s="423"/>
      <c r="G64" s="423"/>
      <c r="H64" s="423"/>
      <c r="I64" s="423"/>
      <c r="J64" s="423"/>
      <c r="K64" s="423"/>
      <c r="L64" s="423"/>
      <c r="M64" s="423"/>
      <c r="N64" s="1370"/>
      <c r="O64" s="139" t="s">
        <v>248</v>
      </c>
      <c r="P64" s="423"/>
      <c r="Q64" s="1370"/>
      <c r="R64" s="1370"/>
    </row>
    <row r="65" spans="1:19" ht="23.65" customHeight="1" x14ac:dyDescent="0.25">
      <c r="A65" s="1999" t="s">
        <v>6</v>
      </c>
      <c r="B65" s="1953" t="s">
        <v>7</v>
      </c>
      <c r="C65" s="1953"/>
      <c r="D65" s="1953"/>
      <c r="E65" s="1953"/>
      <c r="F65" s="1936" t="s">
        <v>86</v>
      </c>
      <c r="G65" s="2012" t="s">
        <v>8</v>
      </c>
      <c r="H65" s="2013"/>
      <c r="I65" s="2013"/>
      <c r="J65" s="2013"/>
      <c r="K65" s="2013"/>
      <c r="L65" s="2013"/>
      <c r="M65" s="2013"/>
      <c r="N65" s="2013"/>
      <c r="O65" s="2014"/>
      <c r="P65" s="374"/>
      <c r="Q65" s="374"/>
      <c r="R65" s="374"/>
      <c r="S65" s="374"/>
    </row>
    <row r="66" spans="1:19" ht="29.65" customHeight="1" x14ac:dyDescent="0.25">
      <c r="A66" s="2000"/>
      <c r="B66" s="1955"/>
      <c r="C66" s="1955"/>
      <c r="D66" s="1955"/>
      <c r="E66" s="1955"/>
      <c r="F66" s="1925"/>
      <c r="G66" s="1983" t="s">
        <v>316</v>
      </c>
      <c r="H66" s="1925" t="s">
        <v>408</v>
      </c>
      <c r="I66" s="1926"/>
      <c r="J66" s="1926"/>
      <c r="K66" s="1926"/>
      <c r="L66" s="1926"/>
      <c r="M66" s="1926"/>
      <c r="N66" s="1926"/>
      <c r="O66" s="2015"/>
      <c r="P66" s="13"/>
      <c r="Q66" s="13"/>
      <c r="R66" s="13"/>
      <c r="S66" s="13"/>
    </row>
    <row r="67" spans="1:19" ht="29.65" customHeight="1" x14ac:dyDescent="0.25">
      <c r="A67" s="2000"/>
      <c r="B67" s="1955"/>
      <c r="C67" s="1955"/>
      <c r="D67" s="1955"/>
      <c r="E67" s="1955"/>
      <c r="F67" s="1925"/>
      <c r="G67" s="1983"/>
      <c r="H67" s="1917" t="s">
        <v>359</v>
      </c>
      <c r="I67" s="1928" t="s">
        <v>446</v>
      </c>
      <c r="J67" s="1929"/>
      <c r="K67" s="1929"/>
      <c r="L67" s="1929"/>
      <c r="M67" s="1929"/>
      <c r="N67" s="1930"/>
      <c r="O67" s="2017" t="s">
        <v>407</v>
      </c>
      <c r="P67" s="1483"/>
      <c r="Q67" s="1484"/>
      <c r="R67" s="1484"/>
      <c r="S67" s="4"/>
    </row>
    <row r="68" spans="1:19" ht="48.6" customHeight="1" x14ac:dyDescent="0.25">
      <c r="A68" s="2000"/>
      <c r="B68" s="1955"/>
      <c r="C68" s="1955"/>
      <c r="D68" s="1955"/>
      <c r="E68" s="1955"/>
      <c r="F68" s="1925"/>
      <c r="G68" s="1983"/>
      <c r="H68" s="1917"/>
      <c r="I68" s="1985" t="s">
        <v>197</v>
      </c>
      <c r="J68" s="1985"/>
      <c r="K68" s="1985" t="s">
        <v>178</v>
      </c>
      <c r="L68" s="1985"/>
      <c r="M68" s="1925" t="s">
        <v>13</v>
      </c>
      <c r="N68" s="1927"/>
      <c r="O68" s="2017"/>
      <c r="P68" s="13"/>
      <c r="Q68" s="155"/>
      <c r="R68" s="155"/>
      <c r="S68" s="4"/>
    </row>
    <row r="69" spans="1:19" ht="41.65" customHeight="1" thickBot="1" x14ac:dyDescent="0.3">
      <c r="A69" s="2001"/>
      <c r="B69" s="1957"/>
      <c r="C69" s="1957"/>
      <c r="D69" s="1957"/>
      <c r="E69" s="1957"/>
      <c r="F69" s="1939"/>
      <c r="G69" s="1984"/>
      <c r="H69" s="1959"/>
      <c r="I69" s="528" t="s">
        <v>80</v>
      </c>
      <c r="J69" s="528" t="s">
        <v>370</v>
      </c>
      <c r="K69" s="528" t="s">
        <v>80</v>
      </c>
      <c r="L69" s="528" t="s">
        <v>370</v>
      </c>
      <c r="M69" s="528" t="s">
        <v>80</v>
      </c>
      <c r="N69" s="528" t="s">
        <v>370</v>
      </c>
      <c r="O69" s="2018"/>
      <c r="P69" s="13"/>
      <c r="Q69" s="155"/>
      <c r="R69" s="155"/>
      <c r="S69" s="4"/>
    </row>
    <row r="70" spans="1:19" ht="24" customHeight="1" thickBot="1" x14ac:dyDescent="0.3">
      <c r="A70" s="469" t="s">
        <v>9</v>
      </c>
      <c r="B70" s="1948">
        <v>2</v>
      </c>
      <c r="C70" s="1948"/>
      <c r="D70" s="1948"/>
      <c r="E70" s="1948"/>
      <c r="F70" s="1367">
        <v>3</v>
      </c>
      <c r="G70" s="246">
        <v>4</v>
      </c>
      <c r="H70" s="1366">
        <v>5</v>
      </c>
      <c r="I70" s="1366">
        <v>6</v>
      </c>
      <c r="J70" s="1366">
        <v>7</v>
      </c>
      <c r="K70" s="1366">
        <v>8</v>
      </c>
      <c r="L70" s="1366">
        <v>9</v>
      </c>
      <c r="M70" s="1366">
        <v>10</v>
      </c>
      <c r="N70" s="1366">
        <v>11</v>
      </c>
      <c r="O70" s="255">
        <v>12</v>
      </c>
      <c r="P70" s="13"/>
      <c r="Q70" s="130"/>
      <c r="R70" s="130"/>
      <c r="S70" s="4"/>
    </row>
    <row r="71" spans="1:19" ht="30.75" customHeight="1" x14ac:dyDescent="0.25">
      <c r="A71" s="543">
        <v>3</v>
      </c>
      <c r="B71" s="2009" t="s">
        <v>996</v>
      </c>
      <c r="C71" s="2009"/>
      <c r="D71" s="2009"/>
      <c r="E71" s="2009"/>
      <c r="F71" s="544">
        <f>SUM(F72+F76+F80+F81)</f>
        <v>0</v>
      </c>
      <c r="G71" s="547">
        <f t="shared" ref="G71:G83" si="3">H71+I71+J71+K71+L71+O71+M71+N71</f>
        <v>2164943</v>
      </c>
      <c r="H71" s="1724">
        <f t="shared" ref="H71:O71" si="4">SUM(H72+H76+H80+H81)</f>
        <v>128274</v>
      </c>
      <c r="I71" s="1724">
        <f t="shared" si="4"/>
        <v>0</v>
      </c>
      <c r="J71" s="1724">
        <f t="shared" si="4"/>
        <v>0</v>
      </c>
      <c r="K71" s="1724">
        <f t="shared" si="4"/>
        <v>0</v>
      </c>
      <c r="L71" s="1724">
        <f t="shared" si="4"/>
        <v>0</v>
      </c>
      <c r="M71" s="1724">
        <f t="shared" si="4"/>
        <v>0</v>
      </c>
      <c r="N71" s="1724">
        <f t="shared" si="4"/>
        <v>2036669</v>
      </c>
      <c r="O71" s="542">
        <f t="shared" si="4"/>
        <v>0</v>
      </c>
      <c r="P71" s="13"/>
      <c r="Q71" s="313"/>
      <c r="R71" s="313"/>
      <c r="S71" s="4"/>
    </row>
    <row r="72" spans="1:19" ht="29.25" customHeight="1" x14ac:dyDescent="0.25">
      <c r="A72" s="476" t="s">
        <v>68</v>
      </c>
      <c r="B72" s="2008" t="s">
        <v>997</v>
      </c>
      <c r="C72" s="2008"/>
      <c r="D72" s="2008"/>
      <c r="E72" s="2008"/>
      <c r="F72" s="545">
        <f>SUM(F73:F75)</f>
        <v>0</v>
      </c>
      <c r="G72" s="548">
        <f t="shared" si="3"/>
        <v>0</v>
      </c>
      <c r="H72" s="946">
        <f t="shared" ref="H72:O72" si="5">SUM(H73:H75)</f>
        <v>0</v>
      </c>
      <c r="I72" s="946">
        <f t="shared" si="5"/>
        <v>0</v>
      </c>
      <c r="J72" s="946">
        <f t="shared" si="5"/>
        <v>0</v>
      </c>
      <c r="K72" s="946">
        <f t="shared" si="5"/>
        <v>0</v>
      </c>
      <c r="L72" s="946">
        <f t="shared" si="5"/>
        <v>0</v>
      </c>
      <c r="M72" s="946">
        <f t="shared" si="5"/>
        <v>0</v>
      </c>
      <c r="N72" s="946">
        <f t="shared" si="5"/>
        <v>0</v>
      </c>
      <c r="O72" s="1725">
        <f t="shared" si="5"/>
        <v>0</v>
      </c>
      <c r="P72" s="13"/>
      <c r="Q72" s="313"/>
      <c r="R72" s="313"/>
      <c r="S72" s="4"/>
    </row>
    <row r="73" spans="1:19" ht="27.75" customHeight="1" x14ac:dyDescent="0.25">
      <c r="A73" s="477" t="s">
        <v>72</v>
      </c>
      <c r="B73" s="2007" t="s">
        <v>268</v>
      </c>
      <c r="C73" s="2007"/>
      <c r="D73" s="2007"/>
      <c r="E73" s="2007"/>
      <c r="F73" s="561">
        <v>0</v>
      </c>
      <c r="G73" s="548">
        <f t="shared" si="3"/>
        <v>0</v>
      </c>
      <c r="H73" s="539">
        <v>0</v>
      </c>
      <c r="I73" s="539">
        <v>0</v>
      </c>
      <c r="J73" s="539">
        <v>0</v>
      </c>
      <c r="K73" s="539">
        <v>0</v>
      </c>
      <c r="L73" s="539">
        <v>0</v>
      </c>
      <c r="M73" s="539">
        <v>0</v>
      </c>
      <c r="N73" s="539">
        <v>0</v>
      </c>
      <c r="O73" s="411">
        <v>0</v>
      </c>
      <c r="P73" s="13"/>
      <c r="Q73" s="1477"/>
      <c r="R73" s="1477"/>
      <c r="S73" s="4"/>
    </row>
    <row r="74" spans="1:19" ht="27.75" customHeight="1" x14ac:dyDescent="0.25">
      <c r="A74" s="26" t="s">
        <v>73</v>
      </c>
      <c r="B74" s="2007" t="s">
        <v>189</v>
      </c>
      <c r="C74" s="2007"/>
      <c r="D74" s="2007"/>
      <c r="E74" s="2007"/>
      <c r="F74" s="561">
        <v>0</v>
      </c>
      <c r="G74" s="548">
        <f t="shared" si="3"/>
        <v>0</v>
      </c>
      <c r="H74" s="539">
        <v>0</v>
      </c>
      <c r="I74" s="539">
        <v>0</v>
      </c>
      <c r="J74" s="539">
        <v>0</v>
      </c>
      <c r="K74" s="539">
        <v>0</v>
      </c>
      <c r="L74" s="539">
        <v>0</v>
      </c>
      <c r="M74" s="539">
        <v>0</v>
      </c>
      <c r="N74" s="539">
        <v>0</v>
      </c>
      <c r="O74" s="411">
        <v>0</v>
      </c>
      <c r="P74" s="13"/>
      <c r="Q74" s="1477"/>
      <c r="R74" s="1477"/>
      <c r="S74" s="4"/>
    </row>
    <row r="75" spans="1:19" ht="20.25" x14ac:dyDescent="0.25">
      <c r="A75" s="477" t="s">
        <v>74</v>
      </c>
      <c r="B75" s="2007" t="s">
        <v>190</v>
      </c>
      <c r="C75" s="2007"/>
      <c r="D75" s="2007"/>
      <c r="E75" s="2007"/>
      <c r="F75" s="561">
        <v>0</v>
      </c>
      <c r="G75" s="548">
        <f t="shared" si="3"/>
        <v>0</v>
      </c>
      <c r="H75" s="539">
        <v>0</v>
      </c>
      <c r="I75" s="539">
        <v>0</v>
      </c>
      <c r="J75" s="539">
        <v>0</v>
      </c>
      <c r="K75" s="539">
        <v>0</v>
      </c>
      <c r="L75" s="539">
        <v>0</v>
      </c>
      <c r="M75" s="539">
        <v>0</v>
      </c>
      <c r="N75" s="539">
        <v>0</v>
      </c>
      <c r="O75" s="411">
        <v>0</v>
      </c>
      <c r="P75" s="13"/>
      <c r="Q75" s="1477"/>
      <c r="R75" s="1477"/>
      <c r="S75" s="4"/>
    </row>
    <row r="76" spans="1:19" ht="31.5" customHeight="1" x14ac:dyDescent="0.25">
      <c r="A76" s="476" t="s">
        <v>69</v>
      </c>
      <c r="B76" s="2008" t="s">
        <v>998</v>
      </c>
      <c r="C76" s="2008"/>
      <c r="D76" s="2008"/>
      <c r="E76" s="2008"/>
      <c r="F76" s="545">
        <f>SUM(F77:F79)</f>
        <v>0</v>
      </c>
      <c r="G76" s="548">
        <f t="shared" si="3"/>
        <v>2164943</v>
      </c>
      <c r="H76" s="946">
        <f t="shared" ref="H76:O76" si="6">SUM(H77:H79)</f>
        <v>128274</v>
      </c>
      <c r="I76" s="946">
        <f t="shared" si="6"/>
        <v>0</v>
      </c>
      <c r="J76" s="946">
        <f t="shared" si="6"/>
        <v>0</v>
      </c>
      <c r="K76" s="946">
        <f t="shared" si="6"/>
        <v>0</v>
      </c>
      <c r="L76" s="946">
        <f t="shared" si="6"/>
        <v>0</v>
      </c>
      <c r="M76" s="946">
        <f t="shared" si="6"/>
        <v>0</v>
      </c>
      <c r="N76" s="946">
        <f t="shared" si="6"/>
        <v>2036669</v>
      </c>
      <c r="O76" s="1725">
        <f t="shared" si="6"/>
        <v>0</v>
      </c>
      <c r="P76" s="13"/>
      <c r="Q76" s="313"/>
      <c r="R76" s="313"/>
      <c r="S76" s="4"/>
    </row>
    <row r="77" spans="1:19" ht="31.5" customHeight="1" x14ac:dyDescent="0.25">
      <c r="A77" s="26" t="s">
        <v>75</v>
      </c>
      <c r="B77" s="2007" t="s">
        <v>191</v>
      </c>
      <c r="C77" s="2007"/>
      <c r="D77" s="2007"/>
      <c r="E77" s="2007"/>
      <c r="F77" s="561">
        <v>0</v>
      </c>
      <c r="G77" s="548">
        <f t="shared" si="3"/>
        <v>2164943</v>
      </c>
      <c r="H77" s="539">
        <v>128274</v>
      </c>
      <c r="I77" s="539">
        <v>0</v>
      </c>
      <c r="J77" s="539">
        <v>0</v>
      </c>
      <c r="K77" s="539">
        <v>0</v>
      </c>
      <c r="L77" s="539">
        <v>0</v>
      </c>
      <c r="M77" s="539">
        <v>0</v>
      </c>
      <c r="N77" s="539">
        <v>2036669</v>
      </c>
      <c r="O77" s="411">
        <v>0</v>
      </c>
      <c r="P77" s="13"/>
      <c r="Q77" s="1477"/>
      <c r="R77" s="1477"/>
      <c r="S77" s="4"/>
    </row>
    <row r="78" spans="1:19" ht="33" customHeight="1" x14ac:dyDescent="0.25">
      <c r="A78" s="26" t="s">
        <v>76</v>
      </c>
      <c r="B78" s="2007" t="s">
        <v>192</v>
      </c>
      <c r="C78" s="2007"/>
      <c r="D78" s="2007"/>
      <c r="E78" s="2007"/>
      <c r="F78" s="561">
        <v>0</v>
      </c>
      <c r="G78" s="548">
        <f t="shared" si="3"/>
        <v>0</v>
      </c>
      <c r="H78" s="539">
        <v>0</v>
      </c>
      <c r="I78" s="539">
        <v>0</v>
      </c>
      <c r="J78" s="539">
        <v>0</v>
      </c>
      <c r="K78" s="539">
        <v>0</v>
      </c>
      <c r="L78" s="539">
        <v>0</v>
      </c>
      <c r="M78" s="539">
        <v>0</v>
      </c>
      <c r="N78" s="539">
        <v>0</v>
      </c>
      <c r="O78" s="411">
        <v>0</v>
      </c>
      <c r="P78" s="13"/>
      <c r="Q78" s="1477"/>
      <c r="R78" s="1477"/>
      <c r="S78" s="4"/>
    </row>
    <row r="79" spans="1:19" ht="30" customHeight="1" x14ac:dyDescent="0.25">
      <c r="A79" s="26" t="s">
        <v>77</v>
      </c>
      <c r="B79" s="2007" t="s">
        <v>193</v>
      </c>
      <c r="C79" s="2007"/>
      <c r="D79" s="2007"/>
      <c r="E79" s="2007"/>
      <c r="F79" s="561">
        <v>0</v>
      </c>
      <c r="G79" s="548">
        <f t="shared" si="3"/>
        <v>0</v>
      </c>
      <c r="H79" s="539">
        <v>0</v>
      </c>
      <c r="I79" s="539">
        <v>0</v>
      </c>
      <c r="J79" s="539">
        <v>0</v>
      </c>
      <c r="K79" s="539">
        <v>0</v>
      </c>
      <c r="L79" s="539">
        <v>0</v>
      </c>
      <c r="M79" s="539">
        <v>0</v>
      </c>
      <c r="N79" s="539">
        <v>0</v>
      </c>
      <c r="O79" s="411">
        <v>0</v>
      </c>
      <c r="P79" s="13"/>
      <c r="Q79" s="1477"/>
      <c r="R79" s="1477"/>
      <c r="S79" s="4"/>
    </row>
    <row r="80" spans="1:19" ht="53.65" customHeight="1" x14ac:dyDescent="0.25">
      <c r="A80" s="476" t="s">
        <v>70</v>
      </c>
      <c r="B80" s="2008" t="s">
        <v>194</v>
      </c>
      <c r="C80" s="2008"/>
      <c r="D80" s="2008"/>
      <c r="E80" s="2008"/>
      <c r="F80" s="561">
        <v>0</v>
      </c>
      <c r="G80" s="548">
        <f t="shared" si="3"/>
        <v>0</v>
      </c>
      <c r="H80" s="1726">
        <v>0</v>
      </c>
      <c r="I80" s="1726">
        <v>0</v>
      </c>
      <c r="J80" s="1726">
        <v>0</v>
      </c>
      <c r="K80" s="1726">
        <v>0</v>
      </c>
      <c r="L80" s="1726">
        <v>0</v>
      </c>
      <c r="M80" s="1726">
        <v>0</v>
      </c>
      <c r="N80" s="1726">
        <v>0</v>
      </c>
      <c r="O80" s="1727">
        <v>0</v>
      </c>
      <c r="P80" s="13"/>
      <c r="Q80" s="1485"/>
      <c r="R80" s="1485"/>
      <c r="S80" s="4"/>
    </row>
    <row r="81" spans="1:23" ht="27.75" customHeight="1" x14ac:dyDescent="0.25">
      <c r="A81" s="476" t="s">
        <v>71</v>
      </c>
      <c r="B81" s="2008" t="s">
        <v>999</v>
      </c>
      <c r="C81" s="2008"/>
      <c r="D81" s="2008"/>
      <c r="E81" s="2008"/>
      <c r="F81" s="545">
        <f>SUM(F82:F83)</f>
        <v>0</v>
      </c>
      <c r="G81" s="548">
        <f t="shared" si="3"/>
        <v>0</v>
      </c>
      <c r="H81" s="946">
        <f t="shared" ref="H81:O81" si="7">SUM(H82:H83)</f>
        <v>0</v>
      </c>
      <c r="I81" s="946">
        <f t="shared" si="7"/>
        <v>0</v>
      </c>
      <c r="J81" s="946">
        <f t="shared" si="7"/>
        <v>0</v>
      </c>
      <c r="K81" s="946">
        <f t="shared" si="7"/>
        <v>0</v>
      </c>
      <c r="L81" s="946">
        <f t="shared" si="7"/>
        <v>0</v>
      </c>
      <c r="M81" s="946">
        <f t="shared" si="7"/>
        <v>0</v>
      </c>
      <c r="N81" s="946">
        <f t="shared" si="7"/>
        <v>0</v>
      </c>
      <c r="O81" s="1725">
        <f t="shared" si="7"/>
        <v>0</v>
      </c>
      <c r="P81" s="13"/>
      <c r="Q81" s="313"/>
      <c r="R81" s="313"/>
      <c r="S81" s="4"/>
    </row>
    <row r="82" spans="1:23" ht="30" customHeight="1" x14ac:dyDescent="0.25">
      <c r="A82" s="26" t="s">
        <v>78</v>
      </c>
      <c r="B82" s="2007" t="s">
        <v>195</v>
      </c>
      <c r="C82" s="2007"/>
      <c r="D82" s="2007"/>
      <c r="E82" s="2007"/>
      <c r="F82" s="561">
        <v>0</v>
      </c>
      <c r="G82" s="548">
        <f t="shared" si="3"/>
        <v>0</v>
      </c>
      <c r="H82" s="539">
        <v>0</v>
      </c>
      <c r="I82" s="539">
        <v>0</v>
      </c>
      <c r="J82" s="539">
        <v>0</v>
      </c>
      <c r="K82" s="539">
        <v>0</v>
      </c>
      <c r="L82" s="539">
        <v>0</v>
      </c>
      <c r="M82" s="539">
        <v>0</v>
      </c>
      <c r="N82" s="539">
        <v>0</v>
      </c>
      <c r="O82" s="411">
        <v>0</v>
      </c>
      <c r="P82" s="13"/>
      <c r="Q82" s="1477"/>
      <c r="R82" s="1477"/>
      <c r="S82" s="4"/>
    </row>
    <row r="83" spans="1:23" ht="32.25" customHeight="1" thickBot="1" x14ac:dyDescent="0.3">
      <c r="A83" s="478" t="s">
        <v>79</v>
      </c>
      <c r="B83" s="1960" t="s">
        <v>196</v>
      </c>
      <c r="C83" s="1960"/>
      <c r="D83" s="1960"/>
      <c r="E83" s="1960"/>
      <c r="F83" s="546">
        <v>0</v>
      </c>
      <c r="G83" s="549">
        <f t="shared" si="3"/>
        <v>0</v>
      </c>
      <c r="H83" s="1728">
        <v>0</v>
      </c>
      <c r="I83" s="1728">
        <v>0</v>
      </c>
      <c r="J83" s="1728">
        <v>0</v>
      </c>
      <c r="K83" s="1728">
        <v>0</v>
      </c>
      <c r="L83" s="1728">
        <v>0</v>
      </c>
      <c r="M83" s="1728">
        <v>0</v>
      </c>
      <c r="N83" s="1728">
        <v>0</v>
      </c>
      <c r="O83" s="412">
        <v>0</v>
      </c>
      <c r="P83" s="13"/>
      <c r="Q83" s="1477"/>
      <c r="R83" s="1477"/>
      <c r="S83" s="4"/>
    </row>
    <row r="84" spans="1:23" s="98" customFormat="1" x14ac:dyDescent="0.25">
      <c r="B84" s="106"/>
      <c r="D84" s="107"/>
      <c r="E84" s="107"/>
      <c r="F84" s="107"/>
      <c r="G84" s="108"/>
      <c r="H84" s="108"/>
      <c r="I84" s="108"/>
      <c r="J84" s="108"/>
      <c r="K84" s="109"/>
      <c r="L84" s="110"/>
      <c r="M84" s="110"/>
      <c r="N84" s="110"/>
      <c r="O84" s="110"/>
      <c r="P84" s="110"/>
      <c r="Q84" s="110"/>
      <c r="R84" s="110"/>
      <c r="T84" s="99"/>
      <c r="U84" s="99"/>
      <c r="V84" s="99"/>
      <c r="W84" s="99"/>
    </row>
    <row r="85" spans="1:23" s="98" customFormat="1" x14ac:dyDescent="0.25">
      <c r="T85" s="99"/>
      <c r="U85" s="99"/>
      <c r="V85" s="99"/>
      <c r="W85" s="99"/>
    </row>
    <row r="86" spans="1:23" s="98" customFormat="1" x14ac:dyDescent="0.25">
      <c r="T86" s="99"/>
      <c r="U86" s="99"/>
      <c r="V86" s="99"/>
      <c r="W86" s="99"/>
    </row>
    <row r="87" spans="1:23" s="98" customFormat="1" x14ac:dyDescent="0.25">
      <c r="A87" s="1990"/>
      <c r="B87" s="1990"/>
      <c r="C87" s="1990"/>
      <c r="D87" s="1990"/>
      <c r="E87" s="1990"/>
      <c r="F87" s="1990"/>
      <c r="G87" s="1990"/>
      <c r="H87" s="1990"/>
      <c r="I87" s="1990"/>
      <c r="J87" s="1990"/>
      <c r="K87" s="1990"/>
      <c r="L87" s="1990"/>
      <c r="M87" s="1990"/>
      <c r="N87" s="1990"/>
      <c r="O87" s="1990"/>
      <c r="P87" s="1990"/>
      <c r="Q87" s="1990"/>
      <c r="R87" s="1990"/>
      <c r="S87" s="1990"/>
      <c r="T87" s="99"/>
      <c r="U87" s="99"/>
      <c r="V87" s="99"/>
      <c r="W87" s="99"/>
    </row>
    <row r="88" spans="1:23" s="98" customFormat="1" x14ac:dyDescent="0.25">
      <c r="A88" s="1990"/>
      <c r="B88" s="1990"/>
      <c r="C88" s="1990"/>
      <c r="D88" s="1990"/>
      <c r="E88" s="1990"/>
      <c r="F88" s="1990"/>
      <c r="G88" s="1990"/>
      <c r="H88" s="1990"/>
      <c r="I88" s="1990"/>
      <c r="J88" s="1990"/>
      <c r="K88" s="1990"/>
      <c r="L88" s="1990"/>
      <c r="M88" s="1990"/>
      <c r="N88" s="1990"/>
      <c r="O88" s="1990"/>
      <c r="P88" s="1990"/>
      <c r="Q88" s="1990"/>
      <c r="R88" s="1990"/>
      <c r="S88" s="1990"/>
      <c r="T88" s="99"/>
      <c r="U88" s="99"/>
      <c r="V88" s="99"/>
      <c r="W88" s="99"/>
    </row>
    <row r="89" spans="1:23" s="98" customFormat="1" x14ac:dyDescent="0.25">
      <c r="A89" s="1990"/>
      <c r="B89" s="1990"/>
      <c r="C89" s="1990"/>
      <c r="D89" s="1990"/>
      <c r="E89" s="1990"/>
      <c r="F89" s="1990"/>
      <c r="G89" s="1990"/>
      <c r="H89" s="1990"/>
      <c r="I89" s="1990"/>
      <c r="J89" s="1990"/>
      <c r="K89" s="1990"/>
      <c r="L89" s="1990"/>
      <c r="M89" s="1990"/>
      <c r="N89" s="1990"/>
      <c r="O89" s="1990"/>
      <c r="P89" s="1990"/>
      <c r="Q89" s="1990"/>
      <c r="R89" s="1990"/>
      <c r="S89" s="1990"/>
      <c r="T89" s="99"/>
      <c r="U89" s="99"/>
      <c r="V89" s="99"/>
      <c r="W89" s="99"/>
    </row>
    <row r="90" spans="1:23" s="98" customFormat="1" x14ac:dyDescent="0.25">
      <c r="A90" s="1990"/>
      <c r="B90" s="1990"/>
      <c r="C90" s="1990"/>
      <c r="D90" s="1990"/>
      <c r="E90" s="1990"/>
      <c r="F90" s="1990"/>
      <c r="G90" s="1990"/>
      <c r="H90" s="1990"/>
      <c r="I90" s="1990"/>
      <c r="J90" s="1990"/>
      <c r="K90" s="1990"/>
      <c r="L90" s="1990"/>
      <c r="M90" s="1990"/>
      <c r="N90" s="1990"/>
      <c r="O90" s="1990"/>
      <c r="P90" s="1990"/>
      <c r="Q90" s="1990"/>
      <c r="R90" s="1990"/>
      <c r="S90" s="1990"/>
      <c r="T90" s="99"/>
      <c r="U90" s="99"/>
      <c r="V90" s="99"/>
      <c r="W90" s="99"/>
    </row>
    <row r="91" spans="1:23" s="98" customFormat="1" x14ac:dyDescent="0.25">
      <c r="A91" s="1990"/>
      <c r="B91" s="1990"/>
      <c r="C91" s="1990"/>
      <c r="D91" s="1990"/>
      <c r="E91" s="1990"/>
      <c r="F91" s="1990"/>
      <c r="G91" s="1990"/>
      <c r="H91" s="1990"/>
      <c r="I91" s="1990"/>
      <c r="J91" s="1990"/>
      <c r="K91" s="1990"/>
      <c r="L91" s="1990"/>
      <c r="M91" s="1990"/>
      <c r="N91" s="1990"/>
      <c r="O91" s="1990"/>
      <c r="P91" s="1990"/>
      <c r="Q91" s="1990"/>
      <c r="R91" s="1990"/>
      <c r="S91" s="1990"/>
      <c r="T91" s="99"/>
      <c r="U91" s="99"/>
      <c r="V91" s="99"/>
      <c r="W91" s="99"/>
    </row>
    <row r="92" spans="1:23" s="98" customFormat="1" x14ac:dyDescent="0.25">
      <c r="A92" s="1990"/>
      <c r="B92" s="1990"/>
      <c r="C92" s="1990"/>
      <c r="D92" s="1990"/>
      <c r="E92" s="1990"/>
      <c r="F92" s="1990"/>
      <c r="G92" s="1990"/>
      <c r="H92" s="1990"/>
      <c r="I92" s="1990"/>
      <c r="J92" s="1990"/>
      <c r="K92" s="1990"/>
      <c r="L92" s="1990"/>
      <c r="M92" s="1990"/>
      <c r="N92" s="1990"/>
      <c r="O92" s="1990"/>
      <c r="P92" s="1990"/>
      <c r="Q92" s="1990"/>
      <c r="R92" s="1990"/>
      <c r="S92" s="1990"/>
      <c r="T92" s="99"/>
      <c r="U92" s="99"/>
      <c r="V92" s="99"/>
      <c r="W92" s="99"/>
    </row>
    <row r="93" spans="1:23" s="98" customFormat="1" x14ac:dyDescent="0.25">
      <c r="A93" s="1990"/>
      <c r="B93" s="1990"/>
      <c r="C93" s="1990"/>
      <c r="D93" s="1990"/>
      <c r="E93" s="1990"/>
      <c r="F93" s="1990"/>
      <c r="G93" s="1990"/>
      <c r="H93" s="1990"/>
      <c r="I93" s="1990"/>
      <c r="J93" s="1990"/>
      <c r="K93" s="1990"/>
      <c r="L93" s="1990"/>
      <c r="M93" s="1990"/>
      <c r="N93" s="1990"/>
      <c r="O93" s="1990"/>
      <c r="P93" s="1990"/>
      <c r="Q93" s="1990"/>
      <c r="R93" s="1990"/>
      <c r="S93" s="1990"/>
      <c r="T93" s="99"/>
      <c r="U93" s="99"/>
      <c r="V93" s="99"/>
      <c r="W93" s="99"/>
    </row>
    <row r="94" spans="1:23" s="98" customFormat="1" x14ac:dyDescent="0.25">
      <c r="A94" s="1990"/>
      <c r="B94" s="1990"/>
      <c r="C94" s="1990"/>
      <c r="D94" s="1990"/>
      <c r="E94" s="1990"/>
      <c r="F94" s="1990"/>
      <c r="G94" s="1990"/>
      <c r="H94" s="1990"/>
      <c r="I94" s="1990"/>
      <c r="J94" s="1990"/>
      <c r="K94" s="1990"/>
      <c r="L94" s="1990"/>
      <c r="M94" s="1990"/>
      <c r="N94" s="1990"/>
      <c r="O94" s="1990"/>
      <c r="P94" s="1990"/>
      <c r="Q94" s="1990"/>
      <c r="R94" s="1990"/>
      <c r="S94" s="1990"/>
      <c r="T94" s="99"/>
      <c r="U94" s="99"/>
      <c r="V94" s="99"/>
      <c r="W94" s="99"/>
    </row>
    <row r="95" spans="1:23" s="98" customFormat="1" x14ac:dyDescent="0.25">
      <c r="A95" s="1990"/>
      <c r="B95" s="1990"/>
      <c r="C95" s="1990"/>
      <c r="D95" s="1990"/>
      <c r="E95" s="1990"/>
      <c r="F95" s="1990"/>
      <c r="G95" s="1990"/>
      <c r="H95" s="1990"/>
      <c r="I95" s="1990"/>
      <c r="J95" s="1990"/>
      <c r="K95" s="1990"/>
      <c r="L95" s="1990"/>
      <c r="M95" s="1990"/>
      <c r="N95" s="1990"/>
      <c r="O95" s="1990"/>
      <c r="P95" s="1990"/>
      <c r="Q95" s="1990"/>
      <c r="R95" s="1990"/>
      <c r="S95" s="1990"/>
      <c r="T95" s="99"/>
      <c r="U95" s="99"/>
      <c r="V95" s="99"/>
      <c r="W95" s="99"/>
    </row>
    <row r="96" spans="1:23" s="98" customFormat="1" x14ac:dyDescent="0.25">
      <c r="A96" s="1990"/>
      <c r="B96" s="1990"/>
      <c r="C96" s="1990"/>
      <c r="D96" s="1990"/>
      <c r="E96" s="1990"/>
      <c r="F96" s="1990"/>
      <c r="G96" s="1990"/>
      <c r="H96" s="1990"/>
      <c r="I96" s="1990"/>
      <c r="J96" s="1990"/>
      <c r="K96" s="1990"/>
      <c r="L96" s="1990"/>
      <c r="M96" s="1990"/>
      <c r="N96" s="1990"/>
      <c r="O96" s="1990"/>
      <c r="P96" s="1990"/>
      <c r="Q96" s="1990"/>
      <c r="R96" s="1990"/>
      <c r="S96" s="1990"/>
      <c r="T96" s="99"/>
      <c r="U96" s="99"/>
      <c r="V96" s="99"/>
      <c r="W96" s="99"/>
    </row>
    <row r="97" spans="1:23" s="98" customFormat="1" x14ac:dyDescent="0.25">
      <c r="A97" s="1990"/>
      <c r="B97" s="1990"/>
      <c r="C97" s="1990"/>
      <c r="D97" s="1990"/>
      <c r="E97" s="1990"/>
      <c r="F97" s="1990"/>
      <c r="G97" s="1990"/>
      <c r="H97" s="1990"/>
      <c r="I97" s="1990"/>
      <c r="J97" s="1990"/>
      <c r="K97" s="1990"/>
      <c r="L97" s="1990"/>
      <c r="M97" s="1990"/>
      <c r="N97" s="1990"/>
      <c r="O97" s="1990"/>
      <c r="P97" s="1990"/>
      <c r="Q97" s="1990"/>
      <c r="R97" s="1990"/>
      <c r="S97" s="1990"/>
      <c r="T97" s="99"/>
      <c r="U97" s="99"/>
      <c r="V97" s="99"/>
      <c r="W97" s="99"/>
    </row>
    <row r="98" spans="1:23" s="98" customFormat="1" x14ac:dyDescent="0.25">
      <c r="A98" s="1990"/>
      <c r="B98" s="1990"/>
      <c r="C98" s="1990"/>
      <c r="D98" s="1990"/>
      <c r="E98" s="1990"/>
      <c r="F98" s="1990"/>
      <c r="G98" s="1990"/>
      <c r="H98" s="1990"/>
      <c r="I98" s="1990"/>
      <c r="J98" s="1990"/>
      <c r="K98" s="1990"/>
      <c r="L98" s="1990"/>
      <c r="M98" s="1990"/>
      <c r="N98" s="1990"/>
      <c r="O98" s="1990"/>
      <c r="P98" s="1990"/>
      <c r="Q98" s="1990"/>
      <c r="R98" s="1990"/>
      <c r="S98" s="1990"/>
      <c r="T98" s="99"/>
      <c r="U98" s="99"/>
      <c r="V98" s="99"/>
      <c r="W98" s="99"/>
    </row>
    <row r="99" spans="1:23" s="98" customFormat="1" x14ac:dyDescent="0.25">
      <c r="A99" s="1990"/>
      <c r="B99" s="1990"/>
      <c r="C99" s="1990"/>
      <c r="D99" s="1990"/>
      <c r="E99" s="1990"/>
      <c r="F99" s="1990"/>
      <c r="G99" s="1990"/>
      <c r="H99" s="1990"/>
      <c r="I99" s="1990"/>
      <c r="J99" s="1990"/>
      <c r="K99" s="1990"/>
      <c r="L99" s="1990"/>
      <c r="M99" s="1990"/>
      <c r="N99" s="1990"/>
      <c r="O99" s="1990"/>
      <c r="P99" s="1990"/>
      <c r="Q99" s="1990"/>
      <c r="R99" s="1990"/>
      <c r="S99" s="1990"/>
      <c r="T99" s="99"/>
      <c r="U99" s="99"/>
      <c r="V99" s="99"/>
      <c r="W99" s="99"/>
    </row>
    <row r="100" spans="1:23" s="98" customFormat="1" x14ac:dyDescent="0.25">
      <c r="A100" s="1990"/>
      <c r="B100" s="1990"/>
      <c r="C100" s="1990"/>
      <c r="D100" s="1990"/>
      <c r="E100" s="1990"/>
      <c r="F100" s="1990"/>
      <c r="G100" s="1990"/>
      <c r="H100" s="1990"/>
      <c r="I100" s="1990"/>
      <c r="J100" s="1990"/>
      <c r="K100" s="1990"/>
      <c r="L100" s="1990"/>
      <c r="M100" s="1990"/>
      <c r="N100" s="1990"/>
      <c r="O100" s="1990"/>
      <c r="P100" s="1990"/>
      <c r="Q100" s="1990"/>
      <c r="R100" s="1990"/>
      <c r="S100" s="1990"/>
      <c r="T100" s="99"/>
      <c r="U100" s="99"/>
      <c r="V100" s="99"/>
      <c r="W100" s="99"/>
    </row>
    <row r="101" spans="1:23" s="98" customFormat="1" x14ac:dyDescent="0.25">
      <c r="B101" s="106"/>
      <c r="D101" s="107"/>
      <c r="E101" s="107"/>
      <c r="F101" s="107"/>
      <c r="G101" s="108"/>
      <c r="H101" s="108"/>
      <c r="I101" s="108"/>
      <c r="J101" s="108"/>
      <c r="K101" s="109"/>
      <c r="L101" s="110"/>
      <c r="M101" s="110"/>
      <c r="N101" s="110"/>
      <c r="O101" s="110"/>
      <c r="P101" s="110"/>
      <c r="Q101" s="110"/>
      <c r="R101" s="110"/>
      <c r="T101" s="99"/>
      <c r="U101" s="99"/>
      <c r="V101" s="99"/>
      <c r="W101" s="99"/>
    </row>
    <row r="102" spans="1:23" s="98" customFormat="1" x14ac:dyDescent="0.25">
      <c r="B102" s="106"/>
      <c r="D102" s="107"/>
      <c r="E102" s="107"/>
      <c r="F102" s="107"/>
      <c r="G102" s="108"/>
      <c r="H102" s="108"/>
      <c r="I102" s="108"/>
      <c r="J102" s="108"/>
      <c r="K102" s="109"/>
      <c r="L102" s="110"/>
      <c r="M102" s="110"/>
      <c r="N102" s="110"/>
      <c r="O102" s="110"/>
      <c r="P102" s="110"/>
      <c r="Q102" s="110"/>
      <c r="R102" s="110"/>
      <c r="T102" s="99"/>
      <c r="U102" s="99"/>
      <c r="V102" s="99"/>
      <c r="W102" s="99"/>
    </row>
    <row r="103" spans="1:23" s="98" customFormat="1" x14ac:dyDescent="0.25">
      <c r="B103" s="106"/>
      <c r="D103" s="107"/>
      <c r="E103" s="107"/>
      <c r="F103" s="107"/>
      <c r="G103" s="108"/>
      <c r="H103" s="108"/>
      <c r="I103" s="108"/>
      <c r="J103" s="108"/>
      <c r="K103" s="109"/>
      <c r="L103" s="110"/>
      <c r="M103" s="110"/>
      <c r="N103" s="110"/>
      <c r="O103" s="110"/>
      <c r="P103" s="110"/>
      <c r="Q103" s="110"/>
      <c r="R103" s="110"/>
      <c r="T103" s="99"/>
      <c r="U103" s="99"/>
      <c r="V103" s="99"/>
      <c r="W103" s="99"/>
    </row>
    <row r="104" spans="1:23" s="98" customFormat="1" x14ac:dyDescent="0.25">
      <c r="B104" s="106"/>
      <c r="D104" s="107"/>
      <c r="E104" s="107"/>
      <c r="F104" s="107"/>
      <c r="G104" s="108"/>
      <c r="H104" s="108"/>
      <c r="I104" s="108"/>
      <c r="J104" s="108"/>
      <c r="K104" s="109"/>
      <c r="L104" s="110"/>
      <c r="M104" s="110"/>
      <c r="N104" s="110"/>
      <c r="O104" s="110"/>
      <c r="P104" s="110"/>
      <c r="Q104" s="110"/>
      <c r="R104" s="110"/>
      <c r="T104" s="99"/>
      <c r="U104" s="99"/>
      <c r="V104" s="99"/>
      <c r="W104" s="99"/>
    </row>
    <row r="105" spans="1:23" s="98" customFormat="1" x14ac:dyDescent="0.25">
      <c r="A105" s="105"/>
      <c r="B105" s="106"/>
      <c r="D105" s="107"/>
      <c r="E105" s="107"/>
      <c r="F105" s="107"/>
      <c r="G105" s="108"/>
      <c r="H105" s="108"/>
      <c r="I105" s="108"/>
      <c r="J105" s="108"/>
      <c r="K105" s="109"/>
      <c r="L105" s="110"/>
      <c r="M105" s="110"/>
      <c r="N105" s="110"/>
      <c r="O105" s="110"/>
      <c r="P105" s="110"/>
      <c r="Q105" s="110"/>
      <c r="R105" s="110"/>
      <c r="T105" s="99"/>
      <c r="U105" s="99"/>
      <c r="V105" s="99"/>
      <c r="W105" s="99"/>
    </row>
    <row r="106" spans="1:23" s="98" customFormat="1" x14ac:dyDescent="0.25">
      <c r="A106" s="105"/>
      <c r="B106" s="106"/>
      <c r="D106" s="107"/>
      <c r="E106" s="107"/>
      <c r="F106" s="107"/>
      <c r="G106" s="108"/>
      <c r="H106" s="108"/>
      <c r="I106" s="108"/>
      <c r="J106" s="108"/>
      <c r="K106" s="109"/>
      <c r="L106" s="110"/>
      <c r="M106" s="110"/>
      <c r="N106" s="110"/>
      <c r="O106" s="110"/>
      <c r="P106" s="110"/>
      <c r="Q106" s="110"/>
      <c r="R106" s="110"/>
      <c r="T106" s="99"/>
      <c r="U106" s="99"/>
      <c r="V106" s="99"/>
      <c r="W106" s="99"/>
    </row>
    <row r="107" spans="1:23" s="98" customFormat="1" x14ac:dyDescent="0.25">
      <c r="A107" s="105"/>
      <c r="B107" s="106"/>
      <c r="D107" s="107"/>
      <c r="E107" s="107"/>
      <c r="F107" s="107"/>
      <c r="G107" s="108"/>
      <c r="H107" s="108"/>
      <c r="I107" s="108"/>
      <c r="J107" s="108"/>
      <c r="K107" s="109"/>
      <c r="L107" s="110"/>
      <c r="M107" s="110"/>
      <c r="N107" s="110"/>
      <c r="O107" s="110"/>
      <c r="P107" s="110"/>
      <c r="Q107" s="110"/>
      <c r="R107" s="110"/>
      <c r="T107" s="99"/>
      <c r="U107" s="99"/>
      <c r="V107" s="99"/>
      <c r="W107" s="99"/>
    </row>
    <row r="108" spans="1:23" s="98" customFormat="1" x14ac:dyDescent="0.25">
      <c r="A108" s="105"/>
      <c r="B108" s="106"/>
      <c r="D108" s="107"/>
      <c r="E108" s="107"/>
      <c r="F108" s="107"/>
      <c r="G108" s="108"/>
      <c r="H108" s="108"/>
      <c r="I108" s="108"/>
      <c r="J108" s="108"/>
      <c r="K108" s="109"/>
      <c r="L108" s="110"/>
      <c r="M108" s="110"/>
      <c r="N108" s="110"/>
      <c r="O108" s="110"/>
      <c r="P108" s="110"/>
      <c r="Q108" s="110"/>
      <c r="R108" s="110"/>
      <c r="T108" s="99"/>
      <c r="U108" s="99"/>
      <c r="V108" s="99"/>
      <c r="W108" s="99"/>
    </row>
    <row r="109" spans="1:23" s="98" customFormat="1" x14ac:dyDescent="0.25">
      <c r="A109" s="105"/>
      <c r="B109" s="106"/>
      <c r="D109" s="107"/>
      <c r="E109" s="107"/>
      <c r="F109" s="107"/>
      <c r="G109" s="108"/>
      <c r="H109" s="108"/>
      <c r="I109" s="108"/>
      <c r="J109" s="108"/>
      <c r="K109" s="109"/>
      <c r="L109" s="110"/>
      <c r="M109" s="110"/>
      <c r="N109" s="110"/>
      <c r="O109" s="110"/>
      <c r="P109" s="110"/>
      <c r="Q109" s="110"/>
      <c r="R109" s="110"/>
      <c r="T109" s="99"/>
      <c r="U109" s="99"/>
      <c r="V109" s="99"/>
      <c r="W109" s="99"/>
    </row>
    <row r="110" spans="1:23" s="98" customFormat="1" x14ac:dyDescent="0.25">
      <c r="A110" s="105"/>
      <c r="B110" s="106"/>
      <c r="D110" s="107"/>
      <c r="E110" s="107"/>
      <c r="F110" s="107"/>
      <c r="G110" s="108"/>
      <c r="H110" s="108"/>
      <c r="I110" s="108"/>
      <c r="J110" s="108"/>
      <c r="K110" s="109"/>
      <c r="L110" s="110"/>
      <c r="M110" s="110"/>
      <c r="N110" s="110"/>
      <c r="O110" s="110"/>
      <c r="P110" s="110"/>
      <c r="Q110" s="110"/>
      <c r="R110" s="110"/>
      <c r="T110" s="99"/>
      <c r="U110" s="99"/>
      <c r="V110" s="99"/>
      <c r="W110" s="99"/>
    </row>
    <row r="111" spans="1:23" s="98" customFormat="1" x14ac:dyDescent="0.25">
      <c r="A111" s="105"/>
      <c r="B111" s="106"/>
      <c r="D111" s="107"/>
      <c r="E111" s="107"/>
      <c r="F111" s="107"/>
      <c r="G111" s="108"/>
      <c r="H111" s="108"/>
      <c r="I111" s="108"/>
      <c r="J111" s="108"/>
      <c r="K111" s="109"/>
      <c r="L111" s="110"/>
      <c r="M111" s="110"/>
      <c r="N111" s="110"/>
      <c r="O111" s="110"/>
      <c r="P111" s="110"/>
      <c r="Q111" s="110"/>
      <c r="R111" s="110"/>
      <c r="T111" s="99"/>
      <c r="U111" s="99"/>
      <c r="V111" s="99"/>
      <c r="W111" s="99"/>
    </row>
    <row r="112" spans="1:23" s="98" customFormat="1" x14ac:dyDescent="0.25">
      <c r="A112" s="105"/>
      <c r="B112" s="106"/>
      <c r="D112" s="107"/>
      <c r="E112" s="107"/>
      <c r="F112" s="107"/>
      <c r="G112" s="108"/>
      <c r="H112" s="108"/>
      <c r="I112" s="108"/>
      <c r="J112" s="108"/>
      <c r="K112" s="109"/>
      <c r="L112" s="110"/>
      <c r="M112" s="110"/>
      <c r="N112" s="110"/>
      <c r="O112" s="110"/>
      <c r="P112" s="110"/>
      <c r="Q112" s="110"/>
      <c r="R112" s="110"/>
      <c r="T112" s="99"/>
      <c r="U112" s="99"/>
      <c r="V112" s="99"/>
      <c r="W112" s="99"/>
    </row>
    <row r="113" spans="1:23" s="98" customFormat="1" x14ac:dyDescent="0.25">
      <c r="A113" s="105"/>
      <c r="B113" s="106"/>
      <c r="D113" s="107"/>
      <c r="E113" s="107"/>
      <c r="F113" s="107"/>
      <c r="G113" s="108"/>
      <c r="H113" s="108"/>
      <c r="I113" s="108"/>
      <c r="J113" s="108"/>
      <c r="K113" s="109"/>
      <c r="L113" s="110"/>
      <c r="M113" s="110"/>
      <c r="N113" s="110"/>
      <c r="O113" s="110"/>
      <c r="P113" s="110"/>
      <c r="Q113" s="110"/>
      <c r="R113" s="110"/>
      <c r="T113" s="99"/>
      <c r="U113" s="99"/>
      <c r="V113" s="99"/>
      <c r="W113" s="99"/>
    </row>
    <row r="114" spans="1:23" s="98" customFormat="1" x14ac:dyDescent="0.25">
      <c r="A114" s="105"/>
      <c r="B114" s="106"/>
      <c r="D114" s="107"/>
      <c r="E114" s="107"/>
      <c r="F114" s="107"/>
      <c r="G114" s="108"/>
      <c r="H114" s="108"/>
      <c r="I114" s="108"/>
      <c r="J114" s="108"/>
      <c r="K114" s="109"/>
      <c r="L114" s="110"/>
      <c r="M114" s="110"/>
      <c r="N114" s="110"/>
      <c r="O114" s="110"/>
      <c r="P114" s="110"/>
      <c r="Q114" s="110"/>
      <c r="R114" s="110"/>
      <c r="T114" s="99"/>
      <c r="U114" s="99"/>
      <c r="V114" s="99"/>
      <c r="W114" s="99"/>
    </row>
    <row r="115" spans="1:23" s="98" customFormat="1" x14ac:dyDescent="0.25">
      <c r="A115" s="105"/>
      <c r="B115" s="106"/>
      <c r="D115" s="107"/>
      <c r="E115" s="107"/>
      <c r="F115" s="107"/>
      <c r="G115" s="108"/>
      <c r="H115" s="108"/>
      <c r="I115" s="108"/>
      <c r="J115" s="108"/>
      <c r="K115" s="109"/>
      <c r="L115" s="110"/>
      <c r="M115" s="110"/>
      <c r="N115" s="110"/>
      <c r="O115" s="110"/>
      <c r="P115" s="110"/>
      <c r="Q115" s="110"/>
      <c r="R115" s="110"/>
      <c r="T115" s="99"/>
      <c r="U115" s="99"/>
      <c r="V115" s="99"/>
      <c r="W115" s="99"/>
    </row>
    <row r="116" spans="1:23" s="98" customFormat="1" x14ac:dyDescent="0.25">
      <c r="A116" s="105"/>
      <c r="B116" s="106"/>
      <c r="D116" s="107"/>
      <c r="E116" s="107"/>
      <c r="F116" s="107"/>
      <c r="G116" s="108"/>
      <c r="H116" s="108"/>
      <c r="I116" s="108"/>
      <c r="J116" s="108"/>
      <c r="K116" s="109"/>
      <c r="L116" s="110"/>
      <c r="M116" s="110"/>
      <c r="N116" s="110"/>
      <c r="O116" s="110"/>
      <c r="P116" s="110"/>
      <c r="Q116" s="110"/>
      <c r="R116" s="110"/>
      <c r="T116" s="99"/>
      <c r="U116" s="99"/>
      <c r="V116" s="99"/>
      <c r="W116" s="99"/>
    </row>
    <row r="117" spans="1:23" s="98" customFormat="1" x14ac:dyDescent="0.25">
      <c r="A117" s="105"/>
      <c r="B117" s="106"/>
      <c r="D117" s="107"/>
      <c r="E117" s="107"/>
      <c r="F117" s="107"/>
      <c r="G117" s="108"/>
      <c r="H117" s="108"/>
      <c r="I117" s="108"/>
      <c r="J117" s="108"/>
      <c r="K117" s="109"/>
      <c r="L117" s="110"/>
      <c r="M117" s="110"/>
      <c r="N117" s="110"/>
      <c r="O117" s="110"/>
      <c r="P117" s="110"/>
      <c r="Q117" s="110"/>
      <c r="R117" s="110"/>
      <c r="T117" s="99"/>
      <c r="U117" s="99"/>
      <c r="V117" s="99"/>
      <c r="W117" s="99"/>
    </row>
    <row r="118" spans="1:23" s="98" customFormat="1" x14ac:dyDescent="0.25">
      <c r="A118" s="105"/>
      <c r="B118" s="106"/>
      <c r="D118" s="107"/>
      <c r="E118" s="107"/>
      <c r="F118" s="107"/>
      <c r="G118" s="108"/>
      <c r="H118" s="108"/>
      <c r="I118" s="108"/>
      <c r="J118" s="108"/>
      <c r="K118" s="109"/>
      <c r="L118" s="110"/>
      <c r="M118" s="110"/>
      <c r="N118" s="110"/>
      <c r="O118" s="110"/>
      <c r="P118" s="110"/>
      <c r="Q118" s="110"/>
      <c r="R118" s="110"/>
      <c r="T118" s="99"/>
      <c r="U118" s="99"/>
      <c r="V118" s="99"/>
      <c r="W118" s="99"/>
    </row>
    <row r="119" spans="1:23" s="98" customFormat="1" x14ac:dyDescent="0.25">
      <c r="A119" s="105"/>
      <c r="B119" s="106"/>
      <c r="D119" s="107"/>
      <c r="E119" s="107"/>
      <c r="F119" s="107"/>
      <c r="G119" s="108"/>
      <c r="H119" s="108"/>
      <c r="I119" s="108"/>
      <c r="J119" s="108"/>
      <c r="K119" s="109"/>
      <c r="L119" s="110"/>
      <c r="M119" s="110"/>
      <c r="N119" s="110"/>
      <c r="O119" s="110"/>
      <c r="P119" s="110"/>
      <c r="Q119" s="110"/>
      <c r="R119" s="110"/>
      <c r="T119" s="99"/>
      <c r="U119" s="99"/>
      <c r="V119" s="99"/>
      <c r="W119" s="99"/>
    </row>
    <row r="120" spans="1:23" s="98" customFormat="1" x14ac:dyDescent="0.25">
      <c r="A120" s="105"/>
      <c r="B120" s="106"/>
      <c r="D120" s="107"/>
      <c r="E120" s="107"/>
      <c r="F120" s="107"/>
      <c r="G120" s="108"/>
      <c r="H120" s="108"/>
      <c r="I120" s="108"/>
      <c r="J120" s="108"/>
      <c r="K120" s="109"/>
      <c r="L120" s="110"/>
      <c r="M120" s="110"/>
      <c r="N120" s="110"/>
      <c r="O120" s="110"/>
      <c r="P120" s="110"/>
      <c r="Q120" s="110"/>
      <c r="R120" s="110"/>
      <c r="T120" s="99"/>
      <c r="U120" s="99"/>
      <c r="V120" s="99"/>
      <c r="W120" s="99"/>
    </row>
    <row r="121" spans="1:23" s="98" customFormat="1" x14ac:dyDescent="0.25">
      <c r="A121" s="105"/>
      <c r="B121" s="106"/>
      <c r="D121" s="107"/>
      <c r="E121" s="107"/>
      <c r="F121" s="107"/>
      <c r="G121" s="108"/>
      <c r="H121" s="108"/>
      <c r="I121" s="108"/>
      <c r="J121" s="108"/>
      <c r="K121" s="109"/>
      <c r="L121" s="110"/>
      <c r="M121" s="110"/>
      <c r="N121" s="110"/>
      <c r="O121" s="110"/>
      <c r="P121" s="110"/>
      <c r="Q121" s="110"/>
      <c r="R121" s="110"/>
      <c r="T121" s="99"/>
      <c r="U121" s="99"/>
      <c r="V121" s="99"/>
      <c r="W121" s="99"/>
    </row>
    <row r="122" spans="1:23" s="98" customFormat="1" x14ac:dyDescent="0.25">
      <c r="A122" s="105"/>
      <c r="B122" s="106"/>
      <c r="D122" s="107"/>
      <c r="E122" s="107"/>
      <c r="F122" s="107"/>
      <c r="G122" s="108"/>
      <c r="H122" s="108"/>
      <c r="I122" s="108"/>
      <c r="J122" s="108"/>
      <c r="K122" s="109"/>
      <c r="L122" s="110"/>
      <c r="M122" s="110"/>
      <c r="N122" s="110"/>
      <c r="O122" s="110"/>
      <c r="P122" s="110"/>
      <c r="Q122" s="110"/>
      <c r="R122" s="110"/>
      <c r="T122" s="99"/>
      <c r="U122" s="99"/>
      <c r="V122" s="99"/>
      <c r="W122" s="99"/>
    </row>
    <row r="123" spans="1:23" s="98" customFormat="1" x14ac:dyDescent="0.25">
      <c r="A123" s="105"/>
      <c r="B123" s="106"/>
      <c r="D123" s="107"/>
      <c r="E123" s="107"/>
      <c r="F123" s="107"/>
      <c r="G123" s="108"/>
      <c r="H123" s="108"/>
      <c r="I123" s="108"/>
      <c r="J123" s="108"/>
      <c r="K123" s="109"/>
      <c r="L123" s="110"/>
      <c r="M123" s="110"/>
      <c r="N123" s="110"/>
      <c r="O123" s="110"/>
      <c r="P123" s="110"/>
      <c r="Q123" s="110"/>
      <c r="R123" s="110"/>
      <c r="T123" s="99"/>
      <c r="U123" s="99"/>
      <c r="V123" s="99"/>
      <c r="W123" s="99"/>
    </row>
    <row r="124" spans="1:23" s="98" customFormat="1" x14ac:dyDescent="0.25">
      <c r="A124" s="105"/>
      <c r="B124" s="106"/>
      <c r="D124" s="107"/>
      <c r="E124" s="107"/>
      <c r="F124" s="107"/>
      <c r="G124" s="108"/>
      <c r="H124" s="108"/>
      <c r="I124" s="108"/>
      <c r="J124" s="108"/>
      <c r="K124" s="109"/>
      <c r="L124" s="110"/>
      <c r="M124" s="110"/>
      <c r="N124" s="110"/>
      <c r="O124" s="110"/>
      <c r="P124" s="110"/>
      <c r="Q124" s="110"/>
      <c r="R124" s="110"/>
      <c r="T124" s="99"/>
      <c r="U124" s="99"/>
      <c r="V124" s="99"/>
      <c r="W124" s="99"/>
    </row>
    <row r="125" spans="1:23" s="98" customFormat="1" x14ac:dyDescent="0.25">
      <c r="A125" s="105"/>
      <c r="B125" s="106"/>
      <c r="D125" s="107"/>
      <c r="E125" s="107"/>
      <c r="F125" s="107"/>
      <c r="G125" s="108"/>
      <c r="H125" s="108"/>
      <c r="I125" s="108"/>
      <c r="J125" s="108"/>
      <c r="K125" s="109"/>
      <c r="L125" s="110"/>
      <c r="M125" s="110"/>
      <c r="N125" s="110"/>
      <c r="O125" s="110"/>
      <c r="P125" s="110"/>
      <c r="Q125" s="110"/>
      <c r="R125" s="110"/>
      <c r="T125" s="99"/>
      <c r="U125" s="99"/>
      <c r="V125" s="99"/>
      <c r="W125" s="99"/>
    </row>
    <row r="126" spans="1:23" s="98" customFormat="1" x14ac:dyDescent="0.25">
      <c r="A126" s="105"/>
      <c r="B126" s="106"/>
      <c r="D126" s="107"/>
      <c r="E126" s="107"/>
      <c r="F126" s="107"/>
      <c r="G126" s="108"/>
      <c r="H126" s="108"/>
      <c r="I126" s="108"/>
      <c r="J126" s="108"/>
      <c r="K126" s="109"/>
      <c r="L126" s="110"/>
      <c r="M126" s="110"/>
      <c r="N126" s="110"/>
      <c r="O126" s="110"/>
      <c r="P126" s="110"/>
      <c r="Q126" s="110"/>
      <c r="R126" s="110"/>
      <c r="T126" s="99"/>
      <c r="U126" s="99"/>
      <c r="V126" s="99"/>
      <c r="W126" s="99"/>
    </row>
    <row r="127" spans="1:23" s="98" customFormat="1" x14ac:dyDescent="0.25">
      <c r="A127" s="105"/>
      <c r="B127" s="106"/>
      <c r="D127" s="107"/>
      <c r="E127" s="107"/>
      <c r="F127" s="107"/>
      <c r="G127" s="108"/>
      <c r="H127" s="108"/>
      <c r="I127" s="108"/>
      <c r="J127" s="108"/>
      <c r="K127" s="109"/>
      <c r="L127" s="110"/>
      <c r="M127" s="110"/>
      <c r="N127" s="110"/>
      <c r="O127" s="110"/>
      <c r="P127" s="110"/>
      <c r="Q127" s="110"/>
      <c r="R127" s="110"/>
      <c r="T127" s="99"/>
      <c r="U127" s="99"/>
      <c r="V127" s="99"/>
      <c r="W127" s="99"/>
    </row>
    <row r="128" spans="1:23" s="98" customFormat="1" x14ac:dyDescent="0.25">
      <c r="A128" s="105"/>
      <c r="B128" s="106"/>
      <c r="D128" s="107"/>
      <c r="E128" s="107"/>
      <c r="F128" s="107"/>
      <c r="G128" s="108"/>
      <c r="H128" s="108"/>
      <c r="I128" s="108"/>
      <c r="J128" s="108"/>
      <c r="K128" s="109"/>
      <c r="L128" s="110"/>
      <c r="M128" s="110"/>
      <c r="N128" s="110"/>
      <c r="O128" s="110"/>
      <c r="P128" s="110"/>
      <c r="Q128" s="110"/>
      <c r="R128" s="110"/>
      <c r="T128" s="99"/>
      <c r="U128" s="99"/>
      <c r="V128" s="99"/>
      <c r="W128" s="99"/>
    </row>
    <row r="129" spans="1:23" s="98" customFormat="1" x14ac:dyDescent="0.25">
      <c r="A129" s="105"/>
      <c r="B129" s="106"/>
      <c r="D129" s="107"/>
      <c r="E129" s="107"/>
      <c r="F129" s="107"/>
      <c r="G129" s="108"/>
      <c r="H129" s="108"/>
      <c r="I129" s="108"/>
      <c r="J129" s="108"/>
      <c r="K129" s="109"/>
      <c r="L129" s="110"/>
      <c r="M129" s="110"/>
      <c r="N129" s="110"/>
      <c r="O129" s="110"/>
      <c r="P129" s="110"/>
      <c r="Q129" s="110"/>
      <c r="R129" s="110"/>
      <c r="T129" s="99"/>
      <c r="U129" s="99"/>
      <c r="V129" s="99"/>
      <c r="W129" s="99"/>
    </row>
    <row r="130" spans="1:23" s="98" customFormat="1" x14ac:dyDescent="0.25">
      <c r="A130" s="105"/>
      <c r="B130" s="106"/>
      <c r="D130" s="107"/>
      <c r="E130" s="107"/>
      <c r="F130" s="107"/>
      <c r="G130" s="108"/>
      <c r="H130" s="108"/>
      <c r="I130" s="108"/>
      <c r="J130" s="108"/>
      <c r="K130" s="109"/>
      <c r="L130" s="110"/>
      <c r="M130" s="110"/>
      <c r="N130" s="110"/>
      <c r="O130" s="110"/>
      <c r="P130" s="110"/>
      <c r="Q130" s="110"/>
      <c r="R130" s="110"/>
      <c r="T130" s="99"/>
      <c r="U130" s="99"/>
      <c r="V130" s="99"/>
      <c r="W130" s="99"/>
    </row>
    <row r="131" spans="1:23" s="98" customFormat="1" x14ac:dyDescent="0.25">
      <c r="A131" s="105"/>
      <c r="B131" s="106"/>
      <c r="D131" s="107"/>
      <c r="E131" s="107"/>
      <c r="F131" s="107"/>
      <c r="G131" s="108"/>
      <c r="H131" s="108"/>
      <c r="I131" s="108"/>
      <c r="J131" s="108"/>
      <c r="K131" s="109"/>
      <c r="L131" s="110"/>
      <c r="M131" s="110"/>
      <c r="N131" s="110"/>
      <c r="O131" s="110"/>
      <c r="P131" s="110"/>
      <c r="Q131" s="110"/>
      <c r="R131" s="110"/>
      <c r="T131" s="99"/>
      <c r="U131" s="99"/>
      <c r="V131" s="99"/>
      <c r="W131" s="99"/>
    </row>
    <row r="132" spans="1:23" s="98" customFormat="1" x14ac:dyDescent="0.25">
      <c r="A132" s="105"/>
      <c r="B132" s="106"/>
      <c r="D132" s="107"/>
      <c r="E132" s="107"/>
      <c r="F132" s="107"/>
      <c r="G132" s="108"/>
      <c r="H132" s="108"/>
      <c r="I132" s="108"/>
      <c r="J132" s="108"/>
      <c r="K132" s="109"/>
      <c r="L132" s="110"/>
      <c r="M132" s="110"/>
      <c r="N132" s="110"/>
      <c r="O132" s="110"/>
      <c r="P132" s="110"/>
      <c r="Q132" s="110"/>
      <c r="R132" s="110"/>
      <c r="T132" s="99"/>
      <c r="U132" s="99"/>
      <c r="V132" s="99"/>
      <c r="W132" s="99"/>
    </row>
    <row r="133" spans="1:23" s="98" customFormat="1" x14ac:dyDescent="0.25">
      <c r="A133" s="105"/>
      <c r="B133" s="106"/>
      <c r="D133" s="107"/>
      <c r="E133" s="107"/>
      <c r="F133" s="107"/>
      <c r="G133" s="108"/>
      <c r="H133" s="108"/>
      <c r="I133" s="108"/>
      <c r="J133" s="108"/>
      <c r="K133" s="109"/>
      <c r="L133" s="110"/>
      <c r="M133" s="110"/>
      <c r="N133" s="110"/>
      <c r="O133" s="110"/>
      <c r="P133" s="110"/>
      <c r="Q133" s="110"/>
      <c r="R133" s="110"/>
      <c r="T133" s="99"/>
      <c r="U133" s="99"/>
      <c r="V133" s="99"/>
      <c r="W133" s="99"/>
    </row>
    <row r="134" spans="1:23" s="98" customFormat="1" x14ac:dyDescent="0.25">
      <c r="A134" s="105"/>
      <c r="B134" s="106"/>
      <c r="D134" s="107"/>
      <c r="E134" s="107"/>
      <c r="F134" s="107"/>
      <c r="G134" s="108"/>
      <c r="H134" s="108"/>
      <c r="I134" s="108"/>
      <c r="J134" s="108"/>
      <c r="K134" s="109"/>
      <c r="L134" s="110"/>
      <c r="M134" s="110"/>
      <c r="N134" s="110"/>
      <c r="O134" s="110"/>
      <c r="P134" s="110"/>
      <c r="Q134" s="110"/>
      <c r="R134" s="110"/>
      <c r="T134" s="99"/>
      <c r="U134" s="99"/>
      <c r="V134" s="99"/>
      <c r="W134" s="99"/>
    </row>
    <row r="135" spans="1:23" s="98" customFormat="1" x14ac:dyDescent="0.25">
      <c r="A135" s="105"/>
      <c r="B135" s="106"/>
      <c r="D135" s="107"/>
      <c r="E135" s="107"/>
      <c r="F135" s="107"/>
      <c r="G135" s="108"/>
      <c r="H135" s="108"/>
      <c r="I135" s="108"/>
      <c r="J135" s="108"/>
      <c r="K135" s="109"/>
      <c r="L135" s="110"/>
      <c r="M135" s="110"/>
      <c r="N135" s="110"/>
      <c r="O135" s="110"/>
      <c r="P135" s="110"/>
      <c r="Q135" s="110"/>
      <c r="R135" s="110"/>
      <c r="T135" s="99"/>
      <c r="U135" s="99"/>
      <c r="V135" s="99"/>
      <c r="W135" s="99"/>
    </row>
    <row r="136" spans="1:23" s="98" customFormat="1" x14ac:dyDescent="0.25">
      <c r="A136" s="105"/>
      <c r="B136" s="106"/>
      <c r="D136" s="107"/>
      <c r="E136" s="107"/>
      <c r="F136" s="107"/>
      <c r="G136" s="108"/>
      <c r="H136" s="108"/>
      <c r="I136" s="108"/>
      <c r="J136" s="108"/>
      <c r="K136" s="109"/>
      <c r="L136" s="110"/>
      <c r="M136" s="110"/>
      <c r="N136" s="110"/>
      <c r="O136" s="110"/>
      <c r="P136" s="110"/>
      <c r="Q136" s="110"/>
      <c r="R136" s="110"/>
      <c r="T136" s="99"/>
      <c r="U136" s="99"/>
      <c r="V136" s="99"/>
      <c r="W136" s="99"/>
    </row>
  </sheetData>
  <sheetProtection password="F86B" sheet="1" formatCells="0" formatColumns="0" formatRows="0"/>
  <mergeCells count="146">
    <mergeCell ref="B40:E40"/>
    <mergeCell ref="B41:E41"/>
    <mergeCell ref="J53:O53"/>
    <mergeCell ref="J55:J58"/>
    <mergeCell ref="K55:K58"/>
    <mergeCell ref="L55:L58"/>
    <mergeCell ref="M55:M58"/>
    <mergeCell ref="N55:N58"/>
    <mergeCell ref="O55:O58"/>
    <mergeCell ref="B42:E42"/>
    <mergeCell ref="B39:E39"/>
    <mergeCell ref="S25:S27"/>
    <mergeCell ref="I26:J26"/>
    <mergeCell ref="B29:E29"/>
    <mergeCell ref="B32:E32"/>
    <mergeCell ref="K26:L26"/>
    <mergeCell ref="B36:E36"/>
    <mergeCell ref="B37:E37"/>
    <mergeCell ref="B38:E38"/>
    <mergeCell ref="B35:E35"/>
    <mergeCell ref="B34:E34"/>
    <mergeCell ref="B30:E30"/>
    <mergeCell ref="B31:E31"/>
    <mergeCell ref="B33:E33"/>
    <mergeCell ref="M68:N68"/>
    <mergeCell ref="G65:O65"/>
    <mergeCell ref="H66:O66"/>
    <mergeCell ref="I67:N67"/>
    <mergeCell ref="A63:S63"/>
    <mergeCell ref="O67:O69"/>
    <mergeCell ref="B82:E82"/>
    <mergeCell ref="B71:E71"/>
    <mergeCell ref="B72:E72"/>
    <mergeCell ref="B79:E79"/>
    <mergeCell ref="B78:E78"/>
    <mergeCell ref="B73:E73"/>
    <mergeCell ref="K68:L68"/>
    <mergeCell ref="B74:E74"/>
    <mergeCell ref="B75:E75"/>
    <mergeCell ref="B76:E76"/>
    <mergeCell ref="B77:E77"/>
    <mergeCell ref="B81:E81"/>
    <mergeCell ref="B80:E80"/>
    <mergeCell ref="B70:E70"/>
    <mergeCell ref="G66:G69"/>
    <mergeCell ref="I68:J68"/>
    <mergeCell ref="B44:E44"/>
    <mergeCell ref="B54:H54"/>
    <mergeCell ref="B59:H59"/>
    <mergeCell ref="B57:H57"/>
    <mergeCell ref="B56:H56"/>
    <mergeCell ref="B46:E46"/>
    <mergeCell ref="A65:A69"/>
    <mergeCell ref="B65:E69"/>
    <mergeCell ref="B48:E48"/>
    <mergeCell ref="B49:E49"/>
    <mergeCell ref="B58:H58"/>
    <mergeCell ref="B47:E47"/>
    <mergeCell ref="F65:F69"/>
    <mergeCell ref="H67:H69"/>
    <mergeCell ref="A64:E64"/>
    <mergeCell ref="D61:E61"/>
    <mergeCell ref="F61:G61"/>
    <mergeCell ref="B61:C61"/>
    <mergeCell ref="B53:H53"/>
    <mergeCell ref="B45:E45"/>
    <mergeCell ref="A99:S100"/>
    <mergeCell ref="A87:S88"/>
    <mergeCell ref="A89:S90"/>
    <mergeCell ref="A91:S92"/>
    <mergeCell ref="A93:S94"/>
    <mergeCell ref="A95:S96"/>
    <mergeCell ref="A97:S98"/>
    <mergeCell ref="L61:O61"/>
    <mergeCell ref="A3:S3"/>
    <mergeCell ref="A6:G6"/>
    <mergeCell ref="H7:S7"/>
    <mergeCell ref="B18:E18"/>
    <mergeCell ref="B19:E19"/>
    <mergeCell ref="H8:S8"/>
    <mergeCell ref="A7:G7"/>
    <mergeCell ref="B13:E17"/>
    <mergeCell ref="H9:S9"/>
    <mergeCell ref="B55:H55"/>
    <mergeCell ref="A4:C4"/>
    <mergeCell ref="A5:C5"/>
    <mergeCell ref="G14:G17"/>
    <mergeCell ref="G24:G27"/>
    <mergeCell ref="H24:S24"/>
    <mergeCell ref="B21:L21"/>
    <mergeCell ref="I16:J16"/>
    <mergeCell ref="B43:E43"/>
    <mergeCell ref="B83:E83"/>
    <mergeCell ref="H14:S14"/>
    <mergeCell ref="A8:G8"/>
    <mergeCell ref="B1:C1"/>
    <mergeCell ref="F1:G1"/>
    <mergeCell ref="A9:G9"/>
    <mergeCell ref="A10:G10"/>
    <mergeCell ref="D4:J4"/>
    <mergeCell ref="D5:J5"/>
    <mergeCell ref="H10:S10"/>
    <mergeCell ref="P1:S1"/>
    <mergeCell ref="H6:S6"/>
    <mergeCell ref="U21:W21"/>
    <mergeCell ref="A12:E12"/>
    <mergeCell ref="A22:E22"/>
    <mergeCell ref="B28:E28"/>
    <mergeCell ref="A23:A27"/>
    <mergeCell ref="B23:E27"/>
    <mergeCell ref="H25:H27"/>
    <mergeCell ref="A13:A17"/>
    <mergeCell ref="F23:F27"/>
    <mergeCell ref="I15:R15"/>
    <mergeCell ref="I25:R25"/>
    <mergeCell ref="M26:R26"/>
    <mergeCell ref="M16:R16"/>
    <mergeCell ref="G23:S23"/>
    <mergeCell ref="B20:L20"/>
    <mergeCell ref="F13:F17"/>
    <mergeCell ref="S15:S17"/>
    <mergeCell ref="H15:H17"/>
    <mergeCell ref="U22:W22"/>
    <mergeCell ref="U24:W24"/>
    <mergeCell ref="U23:W23"/>
    <mergeCell ref="V3:V7"/>
    <mergeCell ref="W3:W7"/>
    <mergeCell ref="X3:X7"/>
    <mergeCell ref="U15:U17"/>
    <mergeCell ref="G13:S13"/>
    <mergeCell ref="T13:AA13"/>
    <mergeCell ref="T14:T17"/>
    <mergeCell ref="W14:W17"/>
    <mergeCell ref="Z14:Z17"/>
    <mergeCell ref="Y15:Y17"/>
    <mergeCell ref="K16:L16"/>
    <mergeCell ref="AC20:AD20"/>
    <mergeCell ref="AF14:AF17"/>
    <mergeCell ref="U14:V14"/>
    <mergeCell ref="V15:V17"/>
    <mergeCell ref="X14:Y14"/>
    <mergeCell ref="X15:X17"/>
    <mergeCell ref="AD14:AE16"/>
    <mergeCell ref="AC14:AC17"/>
    <mergeCell ref="AB14:AB17"/>
    <mergeCell ref="AA14:AA17"/>
  </mergeCells>
  <conditionalFormatting sqref="I55 F19:H19 F71:G83 S20:S21 Q59:R59 Q71:R83 N71:O76 S35:S36 S46:S47 F22:R22 M19:R19 F50:S51 P31:P47 H46:L48 F49:N49 O48:S49 F29:S30 F31:G48 N81:O83 N31:N48 B20:B21">
    <cfRule type="cellIs" dxfId="421" priority="102" operator="lessThan">
      <formula>0</formula>
    </cfRule>
  </conditionalFormatting>
  <conditionalFormatting sqref="Z19">
    <cfRule type="containsText" dxfId="420" priority="99" stopIfTrue="1" operator="containsText" text="ПОМИЛКА">
      <formula>NOT(ISERROR(SEARCH("ПОМИЛКА",Z19)))</formula>
    </cfRule>
    <cfRule type="containsText" dxfId="419" priority="100" stopIfTrue="1" operator="containsText" text="Увага">
      <formula>NOT(ISERROR(SEARCH("Увага",Z19)))</formula>
    </cfRule>
    <cfRule type="containsText" dxfId="418" priority="101" stopIfTrue="1" operator="containsText" text="ПРАВДА">
      <formula>NOT(ISERROR(SEARCH("ПРАВДА",Z19)))</formula>
    </cfRule>
  </conditionalFormatting>
  <conditionalFormatting sqref="AF19">
    <cfRule type="containsText" dxfId="417" priority="93" stopIfTrue="1" operator="containsText" text="ПОМИЛКА">
      <formula>NOT(ISERROR(SEARCH("ПОМИЛКА",AF19)))</formula>
    </cfRule>
    <cfRule type="containsText" dxfId="416" priority="94" stopIfTrue="1" operator="containsText" text="Увага">
      <formula>NOT(ISERROR(SEARCH("Увага",AF19)))</formula>
    </cfRule>
    <cfRule type="containsText" dxfId="415" priority="95" stopIfTrue="1" operator="containsText" text="ПРАВДА">
      <formula>NOT(ISERROR(SEARCH("ПРАВДА",AF19)))</formula>
    </cfRule>
  </conditionalFormatting>
  <conditionalFormatting sqref="S19">
    <cfRule type="cellIs" dxfId="414" priority="89" operator="lessThan">
      <formula>0</formula>
    </cfRule>
  </conditionalFormatting>
  <conditionalFormatting sqref="H71:M76 H81:M83">
    <cfRule type="cellIs" dxfId="413" priority="80" operator="lessThan">
      <formula>0</formula>
    </cfRule>
  </conditionalFormatting>
  <conditionalFormatting sqref="I19">
    <cfRule type="cellIs" dxfId="412" priority="76" operator="lessThan">
      <formula>0</formula>
    </cfRule>
  </conditionalFormatting>
  <conditionalFormatting sqref="S37">
    <cfRule type="cellIs" dxfId="411" priority="75" operator="lessThan">
      <formula>0</formula>
    </cfRule>
  </conditionalFormatting>
  <conditionalFormatting sqref="S31:S34">
    <cfRule type="cellIs" dxfId="410" priority="73" operator="lessThan">
      <formula>0</formula>
    </cfRule>
  </conditionalFormatting>
  <conditionalFormatting sqref="S38:S45 H31:L45">
    <cfRule type="cellIs" dxfId="409" priority="71" operator="lessThan">
      <formula>0</formula>
    </cfRule>
  </conditionalFormatting>
  <conditionalFormatting sqref="I59">
    <cfRule type="cellIs" dxfId="408" priority="52" operator="lessThan">
      <formula>0</formula>
    </cfRule>
  </conditionalFormatting>
  <conditionalFormatting sqref="Q20:Q21">
    <cfRule type="cellIs" dxfId="407" priority="50" operator="lessThan">
      <formula>0</formula>
    </cfRule>
  </conditionalFormatting>
  <conditionalFormatting sqref="X9">
    <cfRule type="cellIs" dxfId="406" priority="46" operator="lessThan">
      <formula>0</formula>
    </cfRule>
  </conditionalFormatting>
  <conditionalFormatting sqref="V9">
    <cfRule type="cellIs" dxfId="405" priority="45" operator="lessThan">
      <formula>0</formula>
    </cfRule>
  </conditionalFormatting>
  <conditionalFormatting sqref="W9">
    <cfRule type="cellIs" dxfId="404" priority="44" operator="lessThan">
      <formula>0</formula>
    </cfRule>
  </conditionalFormatting>
  <conditionalFormatting sqref="T19">
    <cfRule type="cellIs" dxfId="403" priority="43" operator="lessThan">
      <formula>0</formula>
    </cfRule>
  </conditionalFormatting>
  <conditionalFormatting sqref="W19">
    <cfRule type="cellIs" dxfId="402" priority="42" operator="lessThan">
      <formula>0</formula>
    </cfRule>
  </conditionalFormatting>
  <conditionalFormatting sqref="AA19">
    <cfRule type="containsText" dxfId="401" priority="39" stopIfTrue="1" operator="containsText" text="ПОМИЛКА">
      <formula>NOT(ISERROR(SEARCH("ПОМИЛКА",AA19)))</formula>
    </cfRule>
    <cfRule type="containsText" dxfId="400" priority="40" stopIfTrue="1" operator="containsText" text="Увага">
      <formula>NOT(ISERROR(SEARCH("Увага",AA19)))</formula>
    </cfRule>
    <cfRule type="containsText" dxfId="399" priority="41" stopIfTrue="1" operator="containsText" text="ПРАВДА">
      <formula>NOT(ISERROR(SEARCH("ПРАВДА",AA19)))</formula>
    </cfRule>
  </conditionalFormatting>
  <conditionalFormatting sqref="R20">
    <cfRule type="cellIs" dxfId="398" priority="38" operator="lessThan">
      <formula>0</formula>
    </cfRule>
  </conditionalFormatting>
  <conditionalFormatting sqref="Q46:Q47">
    <cfRule type="cellIs" dxfId="397" priority="37" operator="lessThan">
      <formula>0</formula>
    </cfRule>
  </conditionalFormatting>
  <conditionalFormatting sqref="R31:R47">
    <cfRule type="cellIs" dxfId="396" priority="35" operator="lessThan">
      <formula>0</formula>
    </cfRule>
  </conditionalFormatting>
  <conditionalFormatting sqref="Q31:Q45">
    <cfRule type="cellIs" dxfId="395" priority="34" operator="lessThan">
      <formula>0</formula>
    </cfRule>
  </conditionalFormatting>
  <conditionalFormatting sqref="O20">
    <cfRule type="cellIs" dxfId="394" priority="33" operator="lessThan">
      <formula>0</formula>
    </cfRule>
  </conditionalFormatting>
  <conditionalFormatting sqref="V19">
    <cfRule type="cellIs" dxfId="393" priority="32" operator="lessThan">
      <formula>0</formula>
    </cfRule>
  </conditionalFormatting>
  <conditionalFormatting sqref="Y19">
    <cfRule type="cellIs" dxfId="392" priority="31" operator="lessThan">
      <formula>0</formula>
    </cfRule>
  </conditionalFormatting>
  <conditionalFormatting sqref="P20">
    <cfRule type="cellIs" dxfId="391" priority="30" operator="lessThan">
      <formula>0</formula>
    </cfRule>
  </conditionalFormatting>
  <conditionalFormatting sqref="M20">
    <cfRule type="cellIs" dxfId="390" priority="29" operator="lessThan">
      <formula>0</formula>
    </cfRule>
  </conditionalFormatting>
  <conditionalFormatting sqref="R21">
    <cfRule type="cellIs" dxfId="389" priority="28" operator="lessThan">
      <formula>0</formula>
    </cfRule>
  </conditionalFormatting>
  <conditionalFormatting sqref="P21">
    <cfRule type="cellIs" dxfId="388" priority="27" operator="lessThan">
      <formula>0</formula>
    </cfRule>
  </conditionalFormatting>
  <conditionalFormatting sqref="M21">
    <cfRule type="cellIs" dxfId="387" priority="26" operator="lessThan">
      <formula>0</formula>
    </cfRule>
  </conditionalFormatting>
  <conditionalFormatting sqref="O21">
    <cfRule type="cellIs" dxfId="386" priority="25" operator="lessThan">
      <formula>0</formula>
    </cfRule>
  </conditionalFormatting>
  <conditionalFormatting sqref="M31:M48">
    <cfRule type="cellIs" dxfId="385" priority="24" operator="lessThan">
      <formula>0</formula>
    </cfRule>
  </conditionalFormatting>
  <conditionalFormatting sqref="O31:O47">
    <cfRule type="cellIs" dxfId="384" priority="23" operator="lessThan">
      <formula>0</formula>
    </cfRule>
  </conditionalFormatting>
  <conditionalFormatting sqref="J19:L19">
    <cfRule type="cellIs" dxfId="383" priority="22" operator="lessThan">
      <formula>0</formula>
    </cfRule>
  </conditionalFormatting>
  <conditionalFormatting sqref="N20:N21">
    <cfRule type="cellIs" dxfId="382" priority="20" operator="lessThan">
      <formula>0</formula>
    </cfRule>
  </conditionalFormatting>
  <conditionalFormatting sqref="I56:I58">
    <cfRule type="cellIs" dxfId="381" priority="5" operator="lessThan">
      <formula>0</formula>
    </cfRule>
  </conditionalFormatting>
  <conditionalFormatting sqref="K59:M59 O59">
    <cfRule type="cellIs" dxfId="380" priority="4" operator="lessThan">
      <formula>0</formula>
    </cfRule>
  </conditionalFormatting>
  <conditionalFormatting sqref="J59">
    <cfRule type="cellIs" dxfId="379" priority="3" operator="lessThan">
      <formula>0</formula>
    </cfRule>
  </conditionalFormatting>
  <conditionalFormatting sqref="N59">
    <cfRule type="cellIs" dxfId="378" priority="2" operator="lessThan">
      <formula>0</formula>
    </cfRule>
  </conditionalFormatting>
  <conditionalFormatting sqref="H77:O80">
    <cfRule type="cellIs" dxfId="377" priority="1" operator="lessThan">
      <formula>0</formula>
    </cfRule>
  </conditionalFormatting>
  <dataValidations count="3">
    <dataValidation type="decimal" operator="greaterThanOrEqual" allowBlank="1" showInputMessage="1" showErrorMessage="1" error="Будь ласка, вкажіть додатнє число." sqref="Q71:R83 AB19:AE19 Y22:Z23 F19:T19 W19 I55:I59 F71:O83 F29:S50">
      <formula1>0</formula1>
    </dataValidation>
    <dataValidation type="textLength" operator="greaterThanOrEqual" allowBlank="1" showInputMessage="1" showErrorMessage="1" error="Будь ласка, вкажіть 8 знаків коду ЄДРПОУ. Якщо на початку коду зникають нулі - залиште, як є: не додавайте апостроф, кому чи букву О, замість нуля." sqref="D1:E1">
      <formula1>6</formula1>
    </dataValidation>
    <dataValidation type="decimal" operator="greaterThanOrEqual" allowBlank="1" showInputMessage="1" showErrorMessage="1" sqref="Q59:R59 V9:W9 J59:O59 M20:N21">
      <formula1>0</formula1>
    </dataValidation>
  </dataValidations>
  <pageMargins left="0" right="0" top="0" bottom="0" header="0.39370078740157483" footer="0.31496062992125984"/>
  <pageSetup paperSize="9" scale="32" orientation="landscape" r:id="rId1"/>
  <headerFooter alignWithMargins="0">
    <oddFooter>&amp;RСтор.  &amp;P</oddFooter>
  </headerFooter>
  <rowBreaks count="1" manualBreakCount="1">
    <brk id="5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5">
    <tabColor rgb="FFFFFF00"/>
  </sheetPr>
  <dimension ref="A1:AO282"/>
  <sheetViews>
    <sheetView showGridLines="0" view="pageBreakPreview" zoomScale="60" zoomScaleNormal="50" zoomScalePageLayoutView="50" workbookViewId="0">
      <selection activeCell="H12" sqref="H12"/>
    </sheetView>
  </sheetViews>
  <sheetFormatPr defaultColWidth="8.7109375" defaultRowHeight="18.75" x14ac:dyDescent="0.25"/>
  <cols>
    <col min="1" max="1" width="16.28515625" style="22" customWidth="1"/>
    <col min="2" max="2" width="14.7109375" style="1" customWidth="1"/>
    <col min="3" max="3" width="42.5703125" style="2" customWidth="1"/>
    <col min="4" max="4" width="17.42578125" style="58" customWidth="1"/>
    <col min="5" max="5" width="23.5703125" style="58" customWidth="1"/>
    <col min="6" max="6" width="25" style="58" customWidth="1"/>
    <col min="7" max="7" width="20.42578125" style="58" customWidth="1"/>
    <col min="8" max="8" width="22.7109375" style="4" customWidth="1"/>
    <col min="9" max="9" width="21.5703125" style="4" customWidth="1"/>
    <col min="10" max="10" width="23.42578125" style="4" customWidth="1"/>
    <col min="11" max="12" width="24.28515625" style="4" customWidth="1"/>
    <col min="13" max="13" width="22" style="4" customWidth="1"/>
    <col min="14" max="14" width="23.42578125" style="4" customWidth="1"/>
    <col min="15" max="17" width="24.7109375" style="13" customWidth="1"/>
    <col min="18" max="18" width="15.28515625" style="13" customWidth="1"/>
    <col min="19" max="19" width="18" style="12" customWidth="1"/>
    <col min="20" max="20" width="18.7109375" style="47" customWidth="1"/>
    <col min="21" max="21" width="18.7109375" style="76" customWidth="1"/>
    <col min="22" max="22" width="15.7109375" style="76" customWidth="1"/>
    <col min="23" max="23" width="24" style="76" customWidth="1"/>
    <col min="24" max="28" width="15.7109375" style="76" customWidth="1"/>
    <col min="29" max="29" width="21.7109375" style="76" customWidth="1"/>
    <col min="30" max="30" width="8.7109375" style="76"/>
    <col min="31" max="31" width="20.42578125" style="76" customWidth="1"/>
    <col min="32" max="41" width="8.7109375" style="76"/>
    <col min="42" max="234" width="8.7109375" style="2"/>
    <col min="235" max="235" width="78.5703125" style="2" customWidth="1"/>
    <col min="236" max="238" width="19.42578125" style="2" customWidth="1"/>
    <col min="239" max="16384" width="8.7109375" style="2"/>
  </cols>
  <sheetData>
    <row r="1" spans="1:41" ht="22.35" customHeight="1" x14ac:dyDescent="0.25">
      <c r="B1" s="2072" t="s">
        <v>0</v>
      </c>
      <c r="C1" s="2072"/>
      <c r="D1" s="2067" t="str">
        <f>'Звіт 1,2,3'!D1:H1</f>
        <v>02006707</v>
      </c>
      <c r="E1" s="2068"/>
      <c r="F1" s="2069"/>
      <c r="G1" s="2066" t="s">
        <v>1</v>
      </c>
      <c r="H1" s="2066"/>
      <c r="I1" s="265">
        <f>'Звіт 1,2,3'!H1</f>
        <v>430</v>
      </c>
      <c r="J1" s="65"/>
      <c r="K1" s="65"/>
      <c r="L1" s="65"/>
      <c r="M1" s="65"/>
      <c r="N1" s="65"/>
      <c r="O1" s="65"/>
      <c r="P1" s="65"/>
      <c r="Q1" s="65"/>
      <c r="R1" s="65"/>
      <c r="S1" s="137" t="s">
        <v>314</v>
      </c>
      <c r="T1" s="137"/>
    </row>
    <row r="2" spans="1:41" ht="22.35" customHeight="1" x14ac:dyDescent="0.25">
      <c r="G2" s="4"/>
      <c r="J2" s="10"/>
      <c r="K2" s="2"/>
      <c r="L2" s="2"/>
      <c r="M2" s="2"/>
      <c r="N2" s="2"/>
      <c r="O2" s="169"/>
      <c r="P2" s="169"/>
      <c r="Q2" s="169"/>
      <c r="R2" s="2"/>
      <c r="S2" s="138" t="s">
        <v>282</v>
      </c>
      <c r="T2" s="138"/>
    </row>
    <row r="3" spans="1:41" ht="19.350000000000001" customHeight="1" x14ac:dyDescent="0.25">
      <c r="A3" s="2016" t="str">
        <f>'Звіт 1,2,3'!A3</f>
        <v>ЗВІТ ПРО ДОХОДИ ТА ВИТРАТИ за 1 півріччя  2021 року</v>
      </c>
      <c r="B3" s="2016"/>
      <c r="C3" s="2016"/>
      <c r="D3" s="2016"/>
      <c r="E3" s="2016"/>
      <c r="F3" s="2016"/>
      <c r="G3" s="2016"/>
      <c r="H3" s="2016"/>
      <c r="I3" s="20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1" s="47" customFormat="1" ht="37.9" customHeight="1" thickBot="1" x14ac:dyDescent="0.3">
      <c r="A4" s="2080" t="s">
        <v>439</v>
      </c>
      <c r="B4" s="2080"/>
      <c r="C4" s="2080"/>
      <c r="D4" s="41"/>
      <c r="E4" s="41"/>
      <c r="F4" s="41"/>
      <c r="G4" s="41"/>
      <c r="H4" s="41"/>
      <c r="I4" s="41"/>
      <c r="J4" s="2093" t="s">
        <v>1380</v>
      </c>
      <c r="K4" s="2093"/>
      <c r="L4" s="2093"/>
      <c r="M4" s="2093"/>
      <c r="N4" s="374"/>
      <c r="O4" s="374"/>
      <c r="P4" s="374"/>
      <c r="Q4" s="374"/>
      <c r="R4" s="374"/>
      <c r="S4" s="374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41" s="47" customFormat="1" ht="42" customHeight="1" x14ac:dyDescent="0.25">
      <c r="A5" s="1024" t="s">
        <v>6</v>
      </c>
      <c r="B5" s="1953" t="s">
        <v>7</v>
      </c>
      <c r="C5" s="1953"/>
      <c r="D5" s="1953"/>
      <c r="E5" s="1953"/>
      <c r="F5" s="1026" t="s">
        <v>86</v>
      </c>
      <c r="G5" s="53" t="s">
        <v>281</v>
      </c>
      <c r="H5" s="1026" t="s">
        <v>8</v>
      </c>
      <c r="I5" s="54" t="s">
        <v>281</v>
      </c>
      <c r="J5" s="2108" t="s">
        <v>935</v>
      </c>
      <c r="K5" s="2094" t="s">
        <v>943</v>
      </c>
      <c r="L5" s="2094" t="s">
        <v>944</v>
      </c>
      <c r="M5" s="2116" t="s">
        <v>945</v>
      </c>
      <c r="T5" s="2107"/>
      <c r="U5" s="2107"/>
      <c r="V5" s="210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s="47" customFormat="1" ht="32.65" customHeight="1" x14ac:dyDescent="0.25">
      <c r="A6" s="1025" t="s">
        <v>9</v>
      </c>
      <c r="B6" s="1955">
        <v>2</v>
      </c>
      <c r="C6" s="1955"/>
      <c r="D6" s="1955"/>
      <c r="E6" s="1955"/>
      <c r="F6" s="45">
        <v>3</v>
      </c>
      <c r="G6" s="46">
        <v>4</v>
      </c>
      <c r="H6" s="45">
        <v>5</v>
      </c>
      <c r="I6" s="552">
        <v>6</v>
      </c>
      <c r="J6" s="2109"/>
      <c r="K6" s="2095"/>
      <c r="L6" s="2095"/>
      <c r="M6" s="2114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28.9" customHeight="1" thickBot="1" x14ac:dyDescent="0.3">
      <c r="A7" s="183" t="s">
        <v>262</v>
      </c>
      <c r="B7" s="2061" t="s">
        <v>263</v>
      </c>
      <c r="C7" s="2061"/>
      <c r="D7" s="2061"/>
      <c r="E7" s="2061"/>
      <c r="F7" s="177">
        <f>SUM(F8,F16,F26)</f>
        <v>0</v>
      </c>
      <c r="G7" s="178">
        <v>1</v>
      </c>
      <c r="H7" s="177">
        <f>SUM(H8,H16,H26)</f>
        <v>67359415.719999999</v>
      </c>
      <c r="I7" s="553">
        <v>1</v>
      </c>
      <c r="J7" s="2109"/>
      <c r="K7" s="2096"/>
      <c r="L7" s="2096"/>
      <c r="M7" s="2117"/>
      <c r="T7" s="438"/>
      <c r="U7" s="438"/>
      <c r="V7" s="438"/>
    </row>
    <row r="8" spans="1:41" ht="28.9" customHeight="1" thickBot="1" x14ac:dyDescent="0.3">
      <c r="A8" s="269" t="s">
        <v>202</v>
      </c>
      <c r="B8" s="2028" t="s">
        <v>92</v>
      </c>
      <c r="C8" s="2028"/>
      <c r="D8" s="2028"/>
      <c r="E8" s="2028"/>
      <c r="F8" s="179">
        <f>SUM(F9,F10,F11,F14)</f>
        <v>0</v>
      </c>
      <c r="G8" s="180" t="e">
        <f>F8/$F$7</f>
        <v>#DIV/0!</v>
      </c>
      <c r="H8" s="179">
        <f>SUM(H9,H10,H11,H14)</f>
        <v>50956018.719999999</v>
      </c>
      <c r="I8" s="181">
        <f>H8/$H$7</f>
        <v>0.75600000000000001</v>
      </c>
      <c r="J8" s="1524" t="str">
        <f>IF('Звіт   4,5,6'!E43=0,"Дані не введено",IF(OR(AND(F9&gt;0,F34&gt;0,IFERROR(F9/F34&lt;=1.5,0),F9&gt;=F34),AND(F9=0,F34=0)),"ПРАВДА","ПОМИЛКА"))</f>
        <v>ПРАВДА</v>
      </c>
      <c r="K8" s="1364" t="str">
        <f>IF('Звіт   4,5,6'!E43=0,"Дані не введено",IF(OR(AND(F10&gt;0,F35&gt;0,IFERROR(F10/F35&lt;=1.5,0),F10&gt;=F35),AND(F10=0,F35=0)),"ПРАВДА","ПОМИЛКА"))</f>
        <v>ПРАВДА</v>
      </c>
      <c r="L8" s="1364" t="str">
        <f>IF('Звіт   4,5,6'!E43=0,"Дані не введено",IF(OR(AND(H9&gt;0,H34&gt;0,IFERROR(H9/H34&lt;=1.5,0),H9&gt;=H34),AND(H9=0,H34=0)),"ПРАВДА","ПОМИЛКА"))</f>
        <v>ПРАВДА</v>
      </c>
      <c r="M8" s="1525" t="str">
        <f>IF('Звіт   4,5,6'!E43=0,"Дані не введено",IF(OR(AND(H10&gt;0,H35&gt;0,IFERROR(H10/H35&lt;=1.5,0),H10&gt;=H35),AND(H10=0,H35=0)),"ПРАВДА","ПОМИЛКА"))</f>
        <v>ПРАВДА</v>
      </c>
      <c r="T8" s="438"/>
      <c r="U8" s="438"/>
      <c r="V8" s="438"/>
    </row>
    <row r="9" spans="1:41" ht="26.25" customHeight="1" x14ac:dyDescent="0.25">
      <c r="A9" s="270" t="s">
        <v>203</v>
      </c>
      <c r="B9" s="2025" t="s">
        <v>199</v>
      </c>
      <c r="C9" s="2025"/>
      <c r="D9" s="2025"/>
      <c r="E9" s="2025"/>
      <c r="F9" s="51">
        <v>0</v>
      </c>
      <c r="G9" s="94" t="e">
        <f t="shared" ref="G9:G29" si="0">F9/$F$7</f>
        <v>#DIV/0!</v>
      </c>
      <c r="H9" s="51">
        <v>0</v>
      </c>
      <c r="I9" s="96">
        <f t="shared" ref="I9:I29" si="1">H9/$H$7</f>
        <v>0</v>
      </c>
      <c r="J9" s="2103" t="s">
        <v>1827</v>
      </c>
      <c r="K9" s="2104"/>
      <c r="L9" s="2103" t="s">
        <v>1826</v>
      </c>
      <c r="M9" s="2105"/>
      <c r="N9" s="2089" t="s">
        <v>1947</v>
      </c>
      <c r="O9" s="4"/>
      <c r="P9" s="4"/>
      <c r="Q9" s="4"/>
      <c r="R9" s="4"/>
      <c r="S9" s="4"/>
      <c r="T9" s="438"/>
      <c r="U9" s="438"/>
      <c r="V9" s="438"/>
    </row>
    <row r="10" spans="1:41" ht="28.5" customHeight="1" thickBot="1" x14ac:dyDescent="0.3">
      <c r="A10" s="271" t="s">
        <v>204</v>
      </c>
      <c r="B10" s="2025" t="s">
        <v>200</v>
      </c>
      <c r="C10" s="2025"/>
      <c r="D10" s="2025"/>
      <c r="E10" s="2025"/>
      <c r="F10" s="51">
        <v>0</v>
      </c>
      <c r="G10" s="94" t="e">
        <f t="shared" si="0"/>
        <v>#DIV/0!</v>
      </c>
      <c r="H10" s="51">
        <v>0</v>
      </c>
      <c r="I10" s="96">
        <f t="shared" si="1"/>
        <v>0</v>
      </c>
      <c r="J10" s="2110" t="s">
        <v>726</v>
      </c>
      <c r="K10" s="2113" t="s">
        <v>727</v>
      </c>
      <c r="L10" s="2097" t="s">
        <v>1828</v>
      </c>
      <c r="M10" s="2100" t="s">
        <v>1829</v>
      </c>
      <c r="N10" s="2090"/>
      <c r="O10" s="2088"/>
      <c r="P10" s="326"/>
      <c r="Q10" s="326"/>
      <c r="R10" s="326"/>
      <c r="S10" s="1028"/>
    </row>
    <row r="11" spans="1:41" ht="36" customHeight="1" x14ac:dyDescent="0.25">
      <c r="A11" s="272" t="s">
        <v>205</v>
      </c>
      <c r="B11" s="2025" t="s">
        <v>317</v>
      </c>
      <c r="C11" s="2025"/>
      <c r="D11" s="2025"/>
      <c r="E11" s="2025"/>
      <c r="F11" s="51">
        <v>0</v>
      </c>
      <c r="G11" s="94" t="e">
        <f t="shared" si="0"/>
        <v>#DIV/0!</v>
      </c>
      <c r="H11" s="51">
        <f>51031824-75805.28</f>
        <v>50956018.719999999</v>
      </c>
      <c r="I11" s="96">
        <f t="shared" si="1"/>
        <v>0.75600000000000001</v>
      </c>
      <c r="J11" s="2111"/>
      <c r="K11" s="2114"/>
      <c r="L11" s="2098"/>
      <c r="M11" s="2101"/>
      <c r="N11" s="2091" t="s">
        <v>1948</v>
      </c>
      <c r="O11" s="2088"/>
      <c r="P11" s="326"/>
      <c r="Q11" s="326"/>
      <c r="R11" s="326"/>
      <c r="S11" s="1028"/>
      <c r="T11" s="1373"/>
    </row>
    <row r="12" spans="1:41" ht="30" customHeight="1" x14ac:dyDescent="0.25">
      <c r="A12" s="272" t="s">
        <v>206</v>
      </c>
      <c r="B12" s="2037" t="s">
        <v>1942</v>
      </c>
      <c r="C12" s="2037"/>
      <c r="D12" s="2037"/>
      <c r="E12" s="2037"/>
      <c r="F12" s="93">
        <f>'Дод_Доходи ПМГ '!D9</f>
        <v>0</v>
      </c>
      <c r="G12" s="94" t="e">
        <f t="shared" si="0"/>
        <v>#DIV/0!</v>
      </c>
      <c r="H12" s="93">
        <f>'Дод_Доходи ПМГ '!E9</f>
        <v>50956018.719999999</v>
      </c>
      <c r="I12" s="96">
        <f t="shared" si="1"/>
        <v>0.75600000000000001</v>
      </c>
      <c r="J12" s="2111"/>
      <c r="K12" s="2114"/>
      <c r="L12" s="2098"/>
      <c r="M12" s="2101"/>
      <c r="N12" s="2091"/>
      <c r="O12" s="2088"/>
    </row>
    <row r="13" spans="1:41" ht="38.25" customHeight="1" x14ac:dyDescent="0.25">
      <c r="A13" s="272" t="s">
        <v>1941</v>
      </c>
      <c r="B13" s="2106" t="s">
        <v>1943</v>
      </c>
      <c r="C13" s="2106"/>
      <c r="D13" s="2106"/>
      <c r="E13" s="2106"/>
      <c r="F13" s="93">
        <f>F11-F12</f>
        <v>0</v>
      </c>
      <c r="G13" s="94" t="e">
        <f t="shared" si="0"/>
        <v>#DIV/0!</v>
      </c>
      <c r="H13" s="93">
        <f>H11-H12</f>
        <v>0</v>
      </c>
      <c r="I13" s="96">
        <f t="shared" si="1"/>
        <v>0</v>
      </c>
      <c r="J13" s="2111"/>
      <c r="K13" s="2114"/>
      <c r="L13" s="2098"/>
      <c r="M13" s="2101"/>
      <c r="N13" s="2091"/>
      <c r="O13" s="2088"/>
    </row>
    <row r="14" spans="1:41" ht="33" customHeight="1" thickBot="1" x14ac:dyDescent="0.3">
      <c r="A14" s="272" t="s">
        <v>207</v>
      </c>
      <c r="B14" s="2038" t="s">
        <v>1062</v>
      </c>
      <c r="C14" s="2038"/>
      <c r="D14" s="2038"/>
      <c r="E14" s="2038"/>
      <c r="F14" s="480">
        <v>0</v>
      </c>
      <c r="G14" s="94" t="e">
        <f t="shared" si="0"/>
        <v>#DIV/0!</v>
      </c>
      <c r="H14" s="480">
        <v>0</v>
      </c>
      <c r="I14" s="96">
        <f t="shared" si="1"/>
        <v>0</v>
      </c>
      <c r="J14" s="2112"/>
      <c r="K14" s="2115"/>
      <c r="L14" s="2099"/>
      <c r="M14" s="2102"/>
      <c r="N14" s="2092"/>
      <c r="O14" s="2088"/>
    </row>
    <row r="15" spans="1:41" ht="36" customHeight="1" thickBot="1" x14ac:dyDescent="0.3">
      <c r="A15" s="1415" t="s">
        <v>1063</v>
      </c>
      <c r="B15" s="2060" t="s">
        <v>1091</v>
      </c>
      <c r="C15" s="2060"/>
      <c r="D15" s="2060"/>
      <c r="E15" s="2060"/>
      <c r="F15" s="1416">
        <v>0</v>
      </c>
      <c r="G15" s="1417" t="e">
        <f t="shared" si="0"/>
        <v>#DIV/0!</v>
      </c>
      <c r="H15" s="1416">
        <v>0</v>
      </c>
      <c r="I15" s="1418">
        <f t="shared" si="1"/>
        <v>0</v>
      </c>
      <c r="J15" s="1526" t="str">
        <f>IF('Звіт   4,5,6'!E43=0,"Дані не введено",IF(F17=N42,"ПРАВДА","ПОМИЛКА"))</f>
        <v>ПРАВДА</v>
      </c>
      <c r="K15" s="1527" t="str">
        <f>IF('Звіт   4,5,6'!E43=0,"Дані не введено",IF(H17=O42,"ПРАВДА","ПОМИЛКА"))</f>
        <v>ПРАВДА</v>
      </c>
      <c r="L15" s="1526" t="str">
        <f>IF('Звіт   4,5,6'!G43=0,"Дані не введено",IF(F18&lt;=(N62+N73+N74+N75+N81+N82+N83+N84+N85+N86+N87+N91+N72),"ПРАВДА","ПОМИЛКА"))</f>
        <v>ПРАВДА</v>
      </c>
      <c r="M15" s="1527" t="str">
        <f>IF('Звіт   4,5,6'!G43=0,"Дані не введено",IF(H18&lt;=(O62+O73+O74+O75+O81+O82+O83+O84+O85+O86+O87+O91+O72),"ПРАВДА","ПОМИЛКА"))</f>
        <v>ПРАВДА</v>
      </c>
      <c r="N15" s="1528" t="str">
        <f>IF('Звіт   4,5,6'!G43=0,"Дані не введено",IF(H19=Q42,"ПРАВДА","ПОМИЛКА"))</f>
        <v>ПРАВДА</v>
      </c>
      <c r="O15" s="1365"/>
    </row>
    <row r="16" spans="1:41" ht="28.9" customHeight="1" x14ac:dyDescent="0.25">
      <c r="A16" s="269" t="s">
        <v>265</v>
      </c>
      <c r="B16" s="2028" t="s">
        <v>379</v>
      </c>
      <c r="C16" s="2028"/>
      <c r="D16" s="2028"/>
      <c r="E16" s="2028"/>
      <c r="F16" s="1420">
        <f>F17+F20+F21+F22</f>
        <v>0</v>
      </c>
      <c r="G16" s="180" t="e">
        <f t="shared" si="0"/>
        <v>#DIV/0!</v>
      </c>
      <c r="H16" s="1420">
        <f>H17+H20+H21+H22</f>
        <v>16036788</v>
      </c>
      <c r="I16" s="181">
        <f t="shared" si="1"/>
        <v>0.23799999999999999</v>
      </c>
      <c r="L16" s="252"/>
      <c r="M16" s="252"/>
      <c r="N16" s="148"/>
    </row>
    <row r="17" spans="1:20" ht="33" customHeight="1" x14ac:dyDescent="0.25">
      <c r="A17" s="273" t="s">
        <v>376</v>
      </c>
      <c r="B17" s="2039" t="s">
        <v>1944</v>
      </c>
      <c r="C17" s="2039"/>
      <c r="D17" s="2039"/>
      <c r="E17" s="2039"/>
      <c r="F17" s="560">
        <v>0</v>
      </c>
      <c r="G17" s="94" t="e">
        <f t="shared" si="0"/>
        <v>#DIV/0!</v>
      </c>
      <c r="H17" s="51">
        <f>11311300+4437286</f>
        <v>15748586</v>
      </c>
      <c r="I17" s="96">
        <f t="shared" si="1"/>
        <v>0.23400000000000001</v>
      </c>
      <c r="L17" s="247"/>
      <c r="M17" s="247"/>
      <c r="O17" s="992"/>
      <c r="P17" s="992"/>
      <c r="Q17" s="992"/>
    </row>
    <row r="18" spans="1:20" ht="25.5" customHeight="1" x14ac:dyDescent="0.25">
      <c r="A18" s="484" t="s">
        <v>1092</v>
      </c>
      <c r="B18" s="2037" t="s">
        <v>1938</v>
      </c>
      <c r="C18" s="2037"/>
      <c r="D18" s="2037"/>
      <c r="E18" s="2037"/>
      <c r="F18" s="51">
        <v>0</v>
      </c>
      <c r="G18" s="94" t="e">
        <f t="shared" si="0"/>
        <v>#DIV/0!</v>
      </c>
      <c r="H18" s="51">
        <v>0</v>
      </c>
      <c r="I18" s="96">
        <f t="shared" si="1"/>
        <v>0</v>
      </c>
      <c r="J18" s="1027"/>
      <c r="K18" s="326"/>
      <c r="L18" s="326"/>
      <c r="M18" s="418"/>
      <c r="N18" s="326"/>
      <c r="O18" s="1030"/>
      <c r="P18" s="1030"/>
      <c r="Q18" s="1030"/>
      <c r="R18" s="326"/>
      <c r="S18" s="1028"/>
      <c r="T18" s="993"/>
    </row>
    <row r="19" spans="1:20" ht="45" customHeight="1" x14ac:dyDescent="0.25">
      <c r="A19" s="484" t="s">
        <v>1937</v>
      </c>
      <c r="B19" s="2106" t="s">
        <v>1976</v>
      </c>
      <c r="C19" s="2106"/>
      <c r="D19" s="2106"/>
      <c r="E19" s="2106"/>
      <c r="F19" s="51">
        <v>0</v>
      </c>
      <c r="G19" s="94" t="e">
        <f>F19/$F$7</f>
        <v>#DIV/0!</v>
      </c>
      <c r="H19" s="93">
        <f>'Звіт Пацієнт '!P25</f>
        <v>0</v>
      </c>
      <c r="I19" s="96">
        <f>H19/$H$7</f>
        <v>0</v>
      </c>
      <c r="J19" s="1027"/>
      <c r="K19" s="326"/>
      <c r="L19" s="326"/>
      <c r="M19" s="418"/>
      <c r="N19" s="326"/>
      <c r="O19" s="1030"/>
      <c r="P19" s="1030"/>
      <c r="Q19" s="1030"/>
      <c r="R19" s="326"/>
      <c r="S19" s="1028"/>
      <c r="T19" s="993"/>
    </row>
    <row r="20" spans="1:20" ht="36" customHeight="1" x14ac:dyDescent="0.25">
      <c r="A20" s="274" t="s">
        <v>377</v>
      </c>
      <c r="B20" s="2063" t="s">
        <v>1229</v>
      </c>
      <c r="C20" s="2063"/>
      <c r="D20" s="2063"/>
      <c r="E20" s="2063"/>
      <c r="F20" s="51">
        <v>0</v>
      </c>
      <c r="G20" s="94" t="e">
        <f t="shared" si="0"/>
        <v>#DIV/0!</v>
      </c>
      <c r="H20" s="51">
        <v>0</v>
      </c>
      <c r="I20" s="96">
        <f t="shared" si="1"/>
        <v>0</v>
      </c>
      <c r="J20" s="1029"/>
      <c r="K20" s="1031"/>
      <c r="L20" s="1031"/>
      <c r="M20" s="1032"/>
      <c r="N20" s="1023"/>
      <c r="O20" s="1030"/>
      <c r="P20" s="1030"/>
      <c r="Q20" s="1030"/>
      <c r="R20" s="1030"/>
      <c r="S20" s="1033"/>
      <c r="T20" s="980"/>
    </row>
    <row r="21" spans="1:20" ht="35.25" customHeight="1" x14ac:dyDescent="0.25">
      <c r="A21" s="274" t="s">
        <v>378</v>
      </c>
      <c r="B21" s="2063" t="s">
        <v>404</v>
      </c>
      <c r="C21" s="2063"/>
      <c r="D21" s="2063"/>
      <c r="E21" s="2063"/>
      <c r="F21" s="51">
        <v>0</v>
      </c>
      <c r="G21" s="94" t="e">
        <f t="shared" si="0"/>
        <v>#DIV/0!</v>
      </c>
      <c r="H21" s="51">
        <v>0</v>
      </c>
      <c r="I21" s="96">
        <f t="shared" si="1"/>
        <v>0</v>
      </c>
      <c r="J21" s="1027"/>
      <c r="K21" s="1035"/>
      <c r="L21" s="1035"/>
      <c r="M21" s="1035"/>
      <c r="N21" s="1034"/>
      <c r="O21" s="1034"/>
      <c r="P21" s="1034"/>
      <c r="Q21" s="1034"/>
      <c r="R21" s="1036"/>
      <c r="S21" s="1028"/>
    </row>
    <row r="22" spans="1:20" ht="33" customHeight="1" x14ac:dyDescent="0.25">
      <c r="A22" s="274" t="s">
        <v>380</v>
      </c>
      <c r="B22" s="2063" t="s">
        <v>1912</v>
      </c>
      <c r="C22" s="2063"/>
      <c r="D22" s="2063"/>
      <c r="E22" s="2063"/>
      <c r="F22" s="51">
        <v>0</v>
      </c>
      <c r="G22" s="94" t="e">
        <f t="shared" si="0"/>
        <v>#DIV/0!</v>
      </c>
      <c r="H22" s="1699">
        <f>21202+267000</f>
        <v>288202</v>
      </c>
      <c r="I22" s="96">
        <f t="shared" si="1"/>
        <v>4.0000000000000001E-3</v>
      </c>
      <c r="J22" s="1037"/>
      <c r="K22" s="2088"/>
      <c r="L22" s="2088"/>
      <c r="M22" s="2088"/>
      <c r="N22" s="2088"/>
      <c r="O22" s="2088"/>
      <c r="P22" s="2088"/>
      <c r="Q22" s="2088"/>
      <c r="R22" s="2088"/>
      <c r="S22" s="2088"/>
    </row>
    <row r="23" spans="1:20" ht="47.25" customHeight="1" x14ac:dyDescent="0.25">
      <c r="A23" s="1419" t="s">
        <v>1093</v>
      </c>
      <c r="B23" s="2070" t="s">
        <v>1903</v>
      </c>
      <c r="C23" s="2070"/>
      <c r="D23" s="2070"/>
      <c r="E23" s="2070"/>
      <c r="F23" s="93">
        <f>F24+F25</f>
        <v>0</v>
      </c>
      <c r="G23" s="94" t="e">
        <f t="shared" si="0"/>
        <v>#DIV/0!</v>
      </c>
      <c r="H23" s="93">
        <f>H24+H25</f>
        <v>267000</v>
      </c>
      <c r="I23" s="96">
        <f t="shared" si="1"/>
        <v>4.0000000000000001E-3</v>
      </c>
      <c r="J23" s="981"/>
      <c r="K23" s="1048"/>
      <c r="L23" s="1048"/>
      <c r="M23" s="1048"/>
      <c r="N23" s="374"/>
      <c r="O23" s="1046"/>
      <c r="P23" s="1046"/>
      <c r="Q23" s="1046"/>
      <c r="R23" s="1046"/>
      <c r="S23" s="1047"/>
    </row>
    <row r="24" spans="1:20" ht="36.75" customHeight="1" x14ac:dyDescent="0.25">
      <c r="A24" s="1419" t="s">
        <v>1904</v>
      </c>
      <c r="B24" s="2064" t="s">
        <v>1885</v>
      </c>
      <c r="C24" s="2064"/>
      <c r="D24" s="2064"/>
      <c r="E24" s="2064"/>
      <c r="F24" s="51">
        <v>0</v>
      </c>
      <c r="G24" s="94" t="e">
        <f t="shared" si="0"/>
        <v>#DIV/0!</v>
      </c>
      <c r="H24" s="51">
        <v>267000</v>
      </c>
      <c r="I24" s="96">
        <f t="shared" si="1"/>
        <v>4.0000000000000001E-3</v>
      </c>
      <c r="J24" s="981"/>
      <c r="K24" s="1048"/>
      <c r="L24" s="1048"/>
      <c r="M24" s="1048"/>
      <c r="N24" s="374"/>
      <c r="O24" s="1046"/>
      <c r="P24" s="1046"/>
      <c r="Q24" s="1046"/>
      <c r="R24" s="1046"/>
      <c r="S24" s="1047"/>
    </row>
    <row r="25" spans="1:20" ht="27.75" customHeight="1" thickBot="1" x14ac:dyDescent="0.3">
      <c r="A25" s="1419" t="s">
        <v>1905</v>
      </c>
      <c r="B25" s="2059" t="s">
        <v>1891</v>
      </c>
      <c r="C25" s="2059"/>
      <c r="D25" s="2059"/>
      <c r="E25" s="2059"/>
      <c r="F25" s="51">
        <v>0</v>
      </c>
      <c r="G25" s="94" t="e">
        <f t="shared" si="0"/>
        <v>#DIV/0!</v>
      </c>
      <c r="H25" s="51">
        <v>0</v>
      </c>
      <c r="I25" s="96">
        <f t="shared" si="1"/>
        <v>0</v>
      </c>
      <c r="J25" s="981"/>
      <c r="K25" s="1048"/>
      <c r="L25" s="1048"/>
      <c r="M25" s="1048"/>
      <c r="N25" s="374"/>
      <c r="O25" s="1046"/>
      <c r="P25" s="1046"/>
      <c r="Q25" s="1046"/>
      <c r="R25" s="1046"/>
      <c r="S25" s="1047"/>
    </row>
    <row r="26" spans="1:20" ht="28.9" customHeight="1" x14ac:dyDescent="0.25">
      <c r="A26" s="269" t="s">
        <v>266</v>
      </c>
      <c r="B26" s="2028" t="s">
        <v>381</v>
      </c>
      <c r="C26" s="2028"/>
      <c r="D26" s="2028"/>
      <c r="E26" s="2028"/>
      <c r="F26" s="1420">
        <f>F27+F28+F29</f>
        <v>0</v>
      </c>
      <c r="G26" s="180" t="e">
        <f t="shared" si="0"/>
        <v>#DIV/0!</v>
      </c>
      <c r="H26" s="1420">
        <f>H27+H28+H29</f>
        <v>366609</v>
      </c>
      <c r="I26" s="181">
        <f t="shared" si="1"/>
        <v>5.0000000000000001E-3</v>
      </c>
      <c r="J26" s="982"/>
      <c r="K26" s="418"/>
      <c r="L26" s="418"/>
      <c r="M26" s="418"/>
      <c r="N26" s="374"/>
      <c r="O26" s="1046"/>
      <c r="P26" s="1046"/>
      <c r="Q26" s="1046"/>
      <c r="R26" s="1046"/>
      <c r="S26" s="1047"/>
    </row>
    <row r="27" spans="1:20" ht="44.25" customHeight="1" x14ac:dyDescent="0.25">
      <c r="A27" s="271" t="s">
        <v>390</v>
      </c>
      <c r="B27" s="2063" t="s">
        <v>405</v>
      </c>
      <c r="C27" s="2063"/>
      <c r="D27" s="2063"/>
      <c r="E27" s="2063"/>
      <c r="F27" s="215">
        <v>0</v>
      </c>
      <c r="G27" s="94" t="e">
        <f t="shared" si="0"/>
        <v>#DIV/0!</v>
      </c>
      <c r="H27" s="562">
        <f>100299</f>
        <v>100299</v>
      </c>
      <c r="I27" s="96">
        <f t="shared" si="1"/>
        <v>1E-3</v>
      </c>
      <c r="J27" s="983"/>
      <c r="K27" s="983"/>
      <c r="L27" s="983"/>
      <c r="M27" s="983"/>
    </row>
    <row r="28" spans="1:20" ht="46.5" customHeight="1" x14ac:dyDescent="0.25">
      <c r="A28" s="271" t="s">
        <v>391</v>
      </c>
      <c r="B28" s="2063" t="s">
        <v>1901</v>
      </c>
      <c r="C28" s="2063"/>
      <c r="D28" s="2063"/>
      <c r="E28" s="2063"/>
      <c r="F28" s="215">
        <v>0</v>
      </c>
      <c r="G28" s="94" t="e">
        <f t="shared" si="0"/>
        <v>#DIV/0!</v>
      </c>
      <c r="H28" s="562">
        <f>222087+44223</f>
        <v>266310</v>
      </c>
      <c r="I28" s="96">
        <f t="shared" si="1"/>
        <v>4.0000000000000001E-3</v>
      </c>
      <c r="J28" s="108"/>
      <c r="K28" s="252"/>
      <c r="L28" s="252"/>
      <c r="M28" s="1039"/>
      <c r="N28" s="2076"/>
      <c r="O28" s="2076"/>
      <c r="P28" s="252"/>
      <c r="Q28" s="252"/>
      <c r="R28" s="1038"/>
      <c r="S28" s="1023"/>
    </row>
    <row r="29" spans="1:20" ht="28.9" customHeight="1" thickBot="1" x14ac:dyDescent="0.3">
      <c r="A29" s="485" t="s">
        <v>392</v>
      </c>
      <c r="B29" s="2065" t="s">
        <v>399</v>
      </c>
      <c r="C29" s="2065"/>
      <c r="D29" s="2065"/>
      <c r="E29" s="2065"/>
      <c r="F29" s="182">
        <v>0</v>
      </c>
      <c r="G29" s="95" t="e">
        <f t="shared" si="0"/>
        <v>#DIV/0!</v>
      </c>
      <c r="H29" s="586">
        <v>0</v>
      </c>
      <c r="I29" s="991">
        <f t="shared" si="1"/>
        <v>0</v>
      </c>
      <c r="J29" s="108"/>
      <c r="K29" s="1040"/>
      <c r="L29" s="1040"/>
      <c r="M29" s="1041"/>
      <c r="N29" s="2077"/>
      <c r="O29" s="2077"/>
      <c r="P29" s="1040"/>
      <c r="Q29" s="1040"/>
      <c r="R29" s="1042"/>
      <c r="S29" s="1023"/>
    </row>
    <row r="30" spans="1:20" ht="48" customHeight="1" thickBot="1" x14ac:dyDescent="0.3">
      <c r="A30" s="2080" t="s">
        <v>440</v>
      </c>
      <c r="B30" s="2080"/>
      <c r="C30" s="2080"/>
      <c r="D30" s="147"/>
      <c r="E30" s="147"/>
      <c r="F30" s="147"/>
      <c r="G30" s="147"/>
      <c r="H30" s="147"/>
      <c r="I30" s="147"/>
      <c r="J30" s="984"/>
      <c r="K30" s="984"/>
      <c r="L30" s="984"/>
      <c r="M30" s="984"/>
      <c r="N30" s="2"/>
      <c r="O30" s="2073"/>
      <c r="P30" s="2073"/>
      <c r="Q30" s="2073"/>
      <c r="R30" s="2073"/>
      <c r="S30" s="2073"/>
      <c r="T30" s="2073"/>
    </row>
    <row r="31" spans="1:20" ht="48" customHeight="1" x14ac:dyDescent="0.25">
      <c r="A31" s="975" t="s">
        <v>6</v>
      </c>
      <c r="B31" s="1935" t="s">
        <v>176</v>
      </c>
      <c r="C31" s="1935"/>
      <c r="D31" s="1935"/>
      <c r="E31" s="1935"/>
      <c r="F31" s="977" t="s">
        <v>86</v>
      </c>
      <c r="G31" s="53" t="s">
        <v>281</v>
      </c>
      <c r="H31" s="977" t="s">
        <v>8</v>
      </c>
      <c r="I31" s="54" t="s">
        <v>281</v>
      </c>
      <c r="J31" s="985"/>
      <c r="K31" s="81"/>
      <c r="L31" s="81"/>
      <c r="M31" s="81"/>
      <c r="N31" s="88"/>
      <c r="O31" s="88"/>
      <c r="P31" s="88"/>
      <c r="Q31" s="88"/>
      <c r="R31" s="88"/>
      <c r="S31" s="89"/>
      <c r="T31" s="90"/>
    </row>
    <row r="32" spans="1:20" ht="19.350000000000001" customHeight="1" x14ac:dyDescent="0.25">
      <c r="A32" s="976">
        <v>1</v>
      </c>
      <c r="B32" s="1985">
        <v>2</v>
      </c>
      <c r="C32" s="1985"/>
      <c r="D32" s="1985"/>
      <c r="E32" s="1985"/>
      <c r="F32" s="45">
        <v>3</v>
      </c>
      <c r="G32" s="45">
        <v>4</v>
      </c>
      <c r="H32" s="45">
        <v>5</v>
      </c>
      <c r="I32" s="990">
        <v>6</v>
      </c>
      <c r="J32" s="81"/>
      <c r="K32" s="81"/>
      <c r="L32" s="81"/>
      <c r="M32" s="81"/>
      <c r="N32" s="88"/>
      <c r="O32" s="88"/>
      <c r="P32" s="88"/>
      <c r="Q32" s="88"/>
      <c r="R32" s="88"/>
      <c r="S32" s="89"/>
      <c r="T32" s="90"/>
    </row>
    <row r="33" spans="1:41" ht="28.9" customHeight="1" x14ac:dyDescent="0.3">
      <c r="A33" s="275" t="s">
        <v>254</v>
      </c>
      <c r="B33" s="1995" t="s">
        <v>213</v>
      </c>
      <c r="C33" s="1995"/>
      <c r="D33" s="1995"/>
      <c r="E33" s="1995"/>
      <c r="F33" s="97">
        <f>F34+F35+F36</f>
        <v>0</v>
      </c>
      <c r="G33" s="94" t="e">
        <f>G34+G35+G36</f>
        <v>#DIV/0!</v>
      </c>
      <c r="H33" s="97">
        <f>H34+H35+H36</f>
        <v>0</v>
      </c>
      <c r="I33" s="96" t="e">
        <f>I34+I35+I36</f>
        <v>#DIV/0!</v>
      </c>
      <c r="J33" s="81"/>
      <c r="K33" s="81"/>
      <c r="L33" s="81"/>
      <c r="M33" s="81"/>
      <c r="N33" s="88"/>
      <c r="O33" s="88"/>
      <c r="P33" s="88"/>
      <c r="Q33" s="88"/>
      <c r="R33" s="88"/>
      <c r="S33" s="89"/>
      <c r="T33" s="90"/>
    </row>
    <row r="34" spans="1:41" ht="28.9" customHeight="1" x14ac:dyDescent="0.3">
      <c r="A34" s="275" t="s">
        <v>255</v>
      </c>
      <c r="B34" s="1918" t="s">
        <v>251</v>
      </c>
      <c r="C34" s="1918"/>
      <c r="D34" s="1918"/>
      <c r="E34" s="1918"/>
      <c r="F34" s="52">
        <v>0</v>
      </c>
      <c r="G34" s="94" t="e">
        <f>F34/$F$33</f>
        <v>#DIV/0!</v>
      </c>
      <c r="H34" s="52">
        <v>0</v>
      </c>
      <c r="I34" s="96" t="e">
        <f>H34/$H$33</f>
        <v>#DIV/0!</v>
      </c>
      <c r="J34" s="81"/>
      <c r="K34" s="81"/>
      <c r="L34" s="81"/>
      <c r="M34" s="81"/>
      <c r="N34" s="88"/>
      <c r="O34" s="88"/>
      <c r="P34" s="88"/>
      <c r="Q34" s="88"/>
      <c r="R34" s="88"/>
      <c r="S34" s="89"/>
      <c r="T34" s="90"/>
    </row>
    <row r="35" spans="1:41" ht="28.9" customHeight="1" x14ac:dyDescent="0.3">
      <c r="A35" s="275" t="s">
        <v>256</v>
      </c>
      <c r="B35" s="1918" t="s">
        <v>252</v>
      </c>
      <c r="C35" s="1918"/>
      <c r="D35" s="1918"/>
      <c r="E35" s="1918"/>
      <c r="F35" s="52">
        <v>0</v>
      </c>
      <c r="G35" s="94" t="e">
        <f>F35/$F$33</f>
        <v>#DIV/0!</v>
      </c>
      <c r="H35" s="52">
        <v>0</v>
      </c>
      <c r="I35" s="96" t="e">
        <f>H35/$H$33</f>
        <v>#DIV/0!</v>
      </c>
      <c r="J35" s="81"/>
      <c r="K35" s="81"/>
      <c r="L35" s="81"/>
      <c r="M35" s="81"/>
      <c r="N35" s="88"/>
      <c r="O35" s="88"/>
      <c r="P35" s="88"/>
      <c r="Q35" s="88"/>
      <c r="R35" s="88"/>
      <c r="S35" s="89"/>
      <c r="T35" s="90"/>
    </row>
    <row r="36" spans="1:41" ht="28.9" customHeight="1" thickBot="1" x14ac:dyDescent="0.35">
      <c r="A36" s="276" t="s">
        <v>257</v>
      </c>
      <c r="B36" s="2034" t="s">
        <v>253</v>
      </c>
      <c r="C36" s="2034"/>
      <c r="D36" s="2034"/>
      <c r="E36" s="2034"/>
      <c r="F36" s="56">
        <v>0</v>
      </c>
      <c r="G36" s="95" t="e">
        <f>F36/$F$33</f>
        <v>#DIV/0!</v>
      </c>
      <c r="H36" s="56">
        <v>0</v>
      </c>
      <c r="I36" s="991" t="e">
        <f>H36/$H$33</f>
        <v>#DIV/0!</v>
      </c>
      <c r="J36" s="81" t="str">
        <f>IF('Звіт   4,5,6'!E43=0,"Дані не введено",IF((('Звіт   4,5,6'!H27+'Звіт   4,5,6'!H28+'Звіт 10, 11,12,13,14'!G88)/1000)&lt;=('Звіт   4,5,6'!G106/1000),"ПРАВДА","ПОМИЛКА"))</f>
        <v>ПРАВДА</v>
      </c>
      <c r="K36" s="985"/>
      <c r="L36" s="985"/>
      <c r="M36" s="81"/>
      <c r="N36" s="986"/>
      <c r="O36" s="91"/>
      <c r="P36" s="91"/>
      <c r="Q36" s="91"/>
      <c r="R36" s="91"/>
      <c r="S36" s="73"/>
      <c r="T36" s="92"/>
    </row>
    <row r="37" spans="1:41" s="9" customFormat="1" ht="33.6" customHeight="1" thickBot="1" x14ac:dyDescent="0.35">
      <c r="A37" s="72" t="s">
        <v>441</v>
      </c>
      <c r="D37" s="42"/>
      <c r="E37" s="42"/>
      <c r="F37" s="42"/>
      <c r="G37" s="42"/>
      <c r="H37" s="42"/>
      <c r="I37" s="42"/>
      <c r="J37" s="987"/>
      <c r="K37" s="988"/>
      <c r="L37" s="988"/>
      <c r="M37" s="988"/>
      <c r="N37" s="989"/>
      <c r="O37" s="91"/>
      <c r="P37" s="91"/>
      <c r="Q37" s="91"/>
      <c r="R37" s="91"/>
      <c r="S37" s="73"/>
      <c r="T37" s="92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</row>
    <row r="38" spans="1:41" s="9" customFormat="1" ht="73.349999999999994" customHeight="1" x14ac:dyDescent="0.25">
      <c r="A38" s="1934" t="s">
        <v>250</v>
      </c>
      <c r="B38" s="1935" t="s">
        <v>176</v>
      </c>
      <c r="C38" s="1935"/>
      <c r="D38" s="2062" t="s">
        <v>260</v>
      </c>
      <c r="E38" s="2062"/>
      <c r="F38" s="2071" t="s">
        <v>277</v>
      </c>
      <c r="G38" s="2071"/>
      <c r="H38" s="2071" t="s">
        <v>278</v>
      </c>
      <c r="I38" s="2071"/>
      <c r="J38" s="2071" t="s">
        <v>249</v>
      </c>
      <c r="K38" s="2071"/>
      <c r="L38" s="2078" t="s">
        <v>690</v>
      </c>
      <c r="M38" s="2079"/>
      <c r="N38" s="2081" t="s">
        <v>899</v>
      </c>
      <c r="O38" s="2082"/>
      <c r="P38" s="2082"/>
      <c r="Q38" s="2082"/>
      <c r="R38" s="2074" t="s">
        <v>363</v>
      </c>
      <c r="S38" s="2075"/>
      <c r="T38" s="282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</row>
    <row r="39" spans="1:41" s="9" customFormat="1" ht="78" customHeight="1" x14ac:dyDescent="0.25">
      <c r="A39" s="1981"/>
      <c r="B39" s="1985"/>
      <c r="C39" s="1985"/>
      <c r="D39" s="43" t="s">
        <v>86</v>
      </c>
      <c r="E39" s="43" t="s">
        <v>8</v>
      </c>
      <c r="F39" s="43" t="s">
        <v>86</v>
      </c>
      <c r="G39" s="43" t="s">
        <v>8</v>
      </c>
      <c r="H39" s="43" t="s">
        <v>86</v>
      </c>
      <c r="I39" s="43" t="s">
        <v>8</v>
      </c>
      <c r="J39" s="43" t="s">
        <v>86</v>
      </c>
      <c r="K39" s="43" t="s">
        <v>8</v>
      </c>
      <c r="L39" s="43" t="s">
        <v>86</v>
      </c>
      <c r="M39" s="1492" t="s">
        <v>8</v>
      </c>
      <c r="N39" s="1505" t="s">
        <v>86</v>
      </c>
      <c r="O39" s="1375" t="s">
        <v>1940</v>
      </c>
      <c r="P39" s="1375" t="s">
        <v>1946</v>
      </c>
      <c r="Q39" s="527" t="s">
        <v>1945</v>
      </c>
      <c r="R39" s="1505" t="s">
        <v>86</v>
      </c>
      <c r="S39" s="1713" t="s">
        <v>8</v>
      </c>
      <c r="T39" s="28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</row>
    <row r="40" spans="1:41" s="23" customFormat="1" ht="25.5" customHeight="1" x14ac:dyDescent="0.25">
      <c r="A40" s="587" t="s">
        <v>261</v>
      </c>
      <c r="B40" s="2057">
        <v>2</v>
      </c>
      <c r="C40" s="2057"/>
      <c r="D40" s="410">
        <v>3</v>
      </c>
      <c r="E40" s="410">
        <v>4</v>
      </c>
      <c r="F40" s="410">
        <v>6</v>
      </c>
      <c r="G40" s="410">
        <v>7</v>
      </c>
      <c r="H40" s="410">
        <v>9</v>
      </c>
      <c r="I40" s="410">
        <v>10</v>
      </c>
      <c r="J40" s="410">
        <v>11</v>
      </c>
      <c r="K40" s="410">
        <v>12</v>
      </c>
      <c r="L40" s="410">
        <v>13</v>
      </c>
      <c r="M40" s="1493">
        <v>14</v>
      </c>
      <c r="N40" s="1506">
        <v>15</v>
      </c>
      <c r="O40" s="410">
        <v>16</v>
      </c>
      <c r="P40" s="410" t="s">
        <v>1939</v>
      </c>
      <c r="Q40" s="1493" t="s">
        <v>2043</v>
      </c>
      <c r="R40" s="1506">
        <v>17</v>
      </c>
      <c r="S40" s="588">
        <v>18</v>
      </c>
      <c r="T40" s="284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</row>
    <row r="41" spans="1:41" s="9" customFormat="1" ht="25.35" customHeight="1" x14ac:dyDescent="0.3">
      <c r="A41" s="979" t="s">
        <v>153</v>
      </c>
      <c r="B41" s="1995" t="s">
        <v>264</v>
      </c>
      <c r="C41" s="1995"/>
      <c r="D41" s="1421">
        <f>D42+D96</f>
        <v>0</v>
      </c>
      <c r="E41" s="1421">
        <f>E42+E96</f>
        <v>62229323</v>
      </c>
      <c r="F41" s="1422" t="s">
        <v>280</v>
      </c>
      <c r="G41" s="1422" t="s">
        <v>280</v>
      </c>
      <c r="H41" s="1422" t="s">
        <v>280</v>
      </c>
      <c r="I41" s="1422" t="s">
        <v>280</v>
      </c>
      <c r="J41" s="1422" t="s">
        <v>280</v>
      </c>
      <c r="K41" s="1422" t="s">
        <v>280</v>
      </c>
      <c r="L41" s="1422" t="s">
        <v>280</v>
      </c>
      <c r="M41" s="1494" t="s">
        <v>280</v>
      </c>
      <c r="N41" s="1507" t="s">
        <v>280</v>
      </c>
      <c r="O41" s="1422" t="s">
        <v>280</v>
      </c>
      <c r="P41" s="1422" t="s">
        <v>280</v>
      </c>
      <c r="Q41" s="1729" t="s">
        <v>280</v>
      </c>
      <c r="R41" s="1507" t="s">
        <v>280</v>
      </c>
      <c r="S41" s="1423" t="s">
        <v>280</v>
      </c>
      <c r="T41" s="285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</row>
    <row r="42" spans="1:41" s="9" customFormat="1" ht="25.35" customHeight="1" x14ac:dyDescent="0.3">
      <c r="A42" s="979" t="s">
        <v>154</v>
      </c>
      <c r="B42" s="1995" t="s">
        <v>900</v>
      </c>
      <c r="C42" s="1995"/>
      <c r="D42" s="1421">
        <f>SUM(F42,J42,N42,R42,L42)</f>
        <v>0</v>
      </c>
      <c r="E42" s="1421">
        <f>SUM(G42,K42,O42,S42,M42)</f>
        <v>62229323</v>
      </c>
      <c r="F42" s="1421">
        <f t="shared" ref="F42:K42" si="2">SUM(F43,F44,F46,F70,F45)</f>
        <v>0</v>
      </c>
      <c r="G42" s="1421">
        <f t="shared" si="2"/>
        <v>42422858</v>
      </c>
      <c r="H42" s="1421">
        <f t="shared" si="2"/>
        <v>0</v>
      </c>
      <c r="I42" s="1421">
        <f t="shared" si="2"/>
        <v>0</v>
      </c>
      <c r="J42" s="1421">
        <f t="shared" si="2"/>
        <v>0</v>
      </c>
      <c r="K42" s="1421">
        <f t="shared" si="2"/>
        <v>4051811</v>
      </c>
      <c r="L42" s="1421">
        <f>SUM(L43,L44,L46,L70,L45,)</f>
        <v>0</v>
      </c>
      <c r="M42" s="1495">
        <f t="shared" ref="M42:S42" si="3">SUM(M43,M44,M46,M70,M45)</f>
        <v>0</v>
      </c>
      <c r="N42" s="1508">
        <f t="shared" si="3"/>
        <v>0</v>
      </c>
      <c r="O42" s="1421">
        <f t="shared" si="3"/>
        <v>15748586</v>
      </c>
      <c r="P42" s="1421">
        <f t="shared" si="3"/>
        <v>15748586</v>
      </c>
      <c r="Q42" s="1730">
        <f t="shared" si="3"/>
        <v>0</v>
      </c>
      <c r="R42" s="1508">
        <f t="shared" si="3"/>
        <v>0</v>
      </c>
      <c r="S42" s="1424">
        <f t="shared" si="3"/>
        <v>6068</v>
      </c>
      <c r="T42" s="1010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</row>
    <row r="43" spans="1:41" s="9" customFormat="1" ht="25.35" customHeight="1" thickBot="1" x14ac:dyDescent="0.35">
      <c r="A43" s="280" t="s">
        <v>155</v>
      </c>
      <c r="B43" s="2056" t="s">
        <v>148</v>
      </c>
      <c r="C43" s="2056"/>
      <c r="D43" s="97">
        <f t="shared" ref="D43:D95" si="4">SUM(F43,J43,N43,R43,L43)</f>
        <v>0</v>
      </c>
      <c r="E43" s="97">
        <f t="shared" ref="E43:E95" si="5">SUM(G43,K43,O43,S43,M43)</f>
        <v>33352261</v>
      </c>
      <c r="F43" s="184">
        <v>0</v>
      </c>
      <c r="G43" s="184">
        <f>31722725</f>
        <v>31722725</v>
      </c>
      <c r="H43" s="184">
        <v>0</v>
      </c>
      <c r="I43" s="184">
        <v>0</v>
      </c>
      <c r="J43" s="184">
        <v>0</v>
      </c>
      <c r="K43" s="184">
        <v>1629536</v>
      </c>
      <c r="L43" s="184">
        <v>0</v>
      </c>
      <c r="M43" s="1490">
        <v>0</v>
      </c>
      <c r="N43" s="1509">
        <v>0</v>
      </c>
      <c r="O43" s="1486">
        <f>P43</f>
        <v>0</v>
      </c>
      <c r="P43" s="184">
        <v>0</v>
      </c>
      <c r="Q43" s="1731" t="s">
        <v>280</v>
      </c>
      <c r="R43" s="1509">
        <v>0</v>
      </c>
      <c r="S43" s="278">
        <v>0</v>
      </c>
      <c r="T43" s="150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</row>
    <row r="44" spans="1:41" s="9" customFormat="1" ht="25.35" customHeight="1" x14ac:dyDescent="0.3">
      <c r="A44" s="280" t="s">
        <v>156</v>
      </c>
      <c r="B44" s="2056" t="s">
        <v>17</v>
      </c>
      <c r="C44" s="2056"/>
      <c r="D44" s="97">
        <f t="shared" si="4"/>
        <v>0</v>
      </c>
      <c r="E44" s="97">
        <f>SUM(G44,K44,O44,S44,M44)</f>
        <v>7420323</v>
      </c>
      <c r="F44" s="184">
        <v>0</v>
      </c>
      <c r="G44" s="184">
        <v>7009317</v>
      </c>
      <c r="H44" s="184">
        <v>0</v>
      </c>
      <c r="I44" s="184">
        <v>0</v>
      </c>
      <c r="J44" s="184">
        <v>0</v>
      </c>
      <c r="K44" s="184">
        <v>411006</v>
      </c>
      <c r="L44" s="184">
        <v>0</v>
      </c>
      <c r="M44" s="1490">
        <v>0</v>
      </c>
      <c r="N44" s="1509">
        <v>0</v>
      </c>
      <c r="O44" s="1486">
        <f>P44</f>
        <v>0</v>
      </c>
      <c r="P44" s="184">
        <v>0</v>
      </c>
      <c r="Q44" s="1731" t="s">
        <v>280</v>
      </c>
      <c r="R44" s="1509">
        <v>0</v>
      </c>
      <c r="S44" s="278">
        <v>0</v>
      </c>
      <c r="T44" s="2084" t="s">
        <v>691</v>
      </c>
      <c r="U44" s="2084"/>
      <c r="V44" s="2084"/>
      <c r="W44" s="2084"/>
      <c r="X44" s="2084"/>
      <c r="Y44" s="2084"/>
      <c r="Z44" s="2084"/>
      <c r="AA44" s="2084"/>
      <c r="AB44" s="2084"/>
      <c r="AC44" s="2084"/>
      <c r="AD44" s="2084"/>
      <c r="AE44" s="2085"/>
      <c r="AF44" s="73"/>
      <c r="AG44" s="73"/>
      <c r="AH44" s="73"/>
      <c r="AI44" s="73"/>
      <c r="AJ44" s="73"/>
      <c r="AK44" s="73"/>
      <c r="AL44" s="73"/>
      <c r="AM44" s="73"/>
      <c r="AN44" s="73"/>
      <c r="AO44" s="73"/>
    </row>
    <row r="45" spans="1:41" s="9" customFormat="1" ht="25.35" customHeight="1" thickBot="1" x14ac:dyDescent="0.35">
      <c r="A45" s="281" t="s">
        <v>157</v>
      </c>
      <c r="B45" s="2034" t="s">
        <v>951</v>
      </c>
      <c r="C45" s="2034"/>
      <c r="D45" s="1425">
        <f t="shared" si="4"/>
        <v>0</v>
      </c>
      <c r="E45" s="1425">
        <f t="shared" si="5"/>
        <v>0</v>
      </c>
      <c r="F45" s="56">
        <v>0</v>
      </c>
      <c r="G45" s="56">
        <v>0</v>
      </c>
      <c r="H45" s="1432" t="s">
        <v>280</v>
      </c>
      <c r="I45" s="1432" t="s">
        <v>280</v>
      </c>
      <c r="J45" s="56">
        <v>0</v>
      </c>
      <c r="K45" s="56">
        <v>0</v>
      </c>
      <c r="L45" s="56">
        <v>0</v>
      </c>
      <c r="M45" s="1491">
        <v>0</v>
      </c>
      <c r="N45" s="1510">
        <v>0</v>
      </c>
      <c r="O45" s="1486">
        <f>P45</f>
        <v>0</v>
      </c>
      <c r="P45" s="184">
        <v>0</v>
      </c>
      <c r="Q45" s="1731" t="s">
        <v>280</v>
      </c>
      <c r="R45" s="1510">
        <v>0</v>
      </c>
      <c r="S45" s="57">
        <v>0</v>
      </c>
      <c r="T45" s="2086" t="s">
        <v>591</v>
      </c>
      <c r="U45" s="2083"/>
      <c r="V45" s="2083">
        <v>903</v>
      </c>
      <c r="W45" s="2083"/>
      <c r="X45" s="2083">
        <v>92</v>
      </c>
      <c r="Y45" s="2083"/>
      <c r="Z45" s="2083">
        <v>93</v>
      </c>
      <c r="AA45" s="2083"/>
      <c r="AB45" s="2083" t="s">
        <v>592</v>
      </c>
      <c r="AC45" s="2083"/>
      <c r="AD45" s="2083">
        <v>94</v>
      </c>
      <c r="AE45" s="2087"/>
      <c r="AF45" s="73"/>
      <c r="AG45" s="73"/>
      <c r="AH45" s="73"/>
      <c r="AI45" s="73"/>
      <c r="AJ45" s="73"/>
      <c r="AK45" s="73"/>
      <c r="AL45" s="73"/>
      <c r="AM45" s="73"/>
      <c r="AN45" s="73"/>
      <c r="AO45" s="73"/>
    </row>
    <row r="46" spans="1:41" s="9" customFormat="1" ht="25.35" customHeight="1" thickBot="1" x14ac:dyDescent="0.35">
      <c r="A46" s="402" t="s">
        <v>158</v>
      </c>
      <c r="B46" s="2058" t="s">
        <v>18</v>
      </c>
      <c r="C46" s="2058"/>
      <c r="D46" s="1426">
        <f t="shared" si="4"/>
        <v>0</v>
      </c>
      <c r="E46" s="1426">
        <f t="shared" si="5"/>
        <v>18801735</v>
      </c>
      <c r="F46" s="1426">
        <f t="shared" ref="F46:N46" si="6">SUM(F47,F56,F55,F57,F58,F59,F60,F61,F54,F62,F69)</f>
        <v>0</v>
      </c>
      <c r="G46" s="1426">
        <f>SUM(G47,G56,G55,G57,G58,G59,G60,G61,G54,G62,G69)</f>
        <v>3047081</v>
      </c>
      <c r="H46" s="1426">
        <f t="shared" si="6"/>
        <v>0</v>
      </c>
      <c r="I46" s="1426">
        <f t="shared" si="6"/>
        <v>0</v>
      </c>
      <c r="J46" s="1426">
        <f>SUM(J47,J56,J55,J57,J58,J59,J60,J61,J54,J62,J69)</f>
        <v>0</v>
      </c>
      <c r="K46" s="1426">
        <f t="shared" si="6"/>
        <v>0</v>
      </c>
      <c r="L46" s="1426">
        <f>SUM(L47,L56,L55,L57,L58,L59,L60,L61,L54,L62,L69)</f>
        <v>0</v>
      </c>
      <c r="M46" s="1496">
        <f t="shared" si="6"/>
        <v>0</v>
      </c>
      <c r="N46" s="1515">
        <f t="shared" si="6"/>
        <v>0</v>
      </c>
      <c r="O46" s="1517">
        <f>SUM(O47,O56,O55,O57,O58,O59,O60,O61,O54,O62,O69)</f>
        <v>15748586</v>
      </c>
      <c r="P46" s="1518">
        <f>SUM(P47,P56,P55,P57,P58,P59,P60,P61,P54,P62,P69)</f>
        <v>15748586</v>
      </c>
      <c r="Q46" s="1732">
        <f>SUM(Q47,Q56,Q55,Q57,Q58,Q59,Q60,Q61,Q54,Q62,Q69)</f>
        <v>0</v>
      </c>
      <c r="R46" s="1744">
        <f>SUM(R47,R56,R55,R57,R58,R59,R60,R61,R54,R62,R69)</f>
        <v>0</v>
      </c>
      <c r="S46" s="1745">
        <f>SUM(S47,S56,S55,S57,S58,S59,S60,S61,S54,S62,S69)</f>
        <v>6068</v>
      </c>
      <c r="T46" s="1743">
        <f>D46-D62-D59</f>
        <v>0</v>
      </c>
      <c r="U46" s="286">
        <f>E46-E62-E59</f>
        <v>14164731</v>
      </c>
      <c r="V46" s="286">
        <f>F46-F62-F59</f>
        <v>0</v>
      </c>
      <c r="W46" s="287">
        <f>G46-G62-G59</f>
        <v>2847363</v>
      </c>
      <c r="X46" s="286">
        <f t="shared" ref="X46:AC46" si="7">J46-J62-J59</f>
        <v>0</v>
      </c>
      <c r="Y46" s="287">
        <f t="shared" si="7"/>
        <v>0</v>
      </c>
      <c r="Z46" s="286">
        <f t="shared" si="7"/>
        <v>0</v>
      </c>
      <c r="AA46" s="287">
        <f t="shared" si="7"/>
        <v>0</v>
      </c>
      <c r="AB46" s="286">
        <f t="shared" si="7"/>
        <v>0</v>
      </c>
      <c r="AC46" s="286">
        <f t="shared" si="7"/>
        <v>11311300</v>
      </c>
      <c r="AD46" s="286">
        <f>R46-R62-R59</f>
        <v>0</v>
      </c>
      <c r="AE46" s="288">
        <f>S46-S62-S59</f>
        <v>6068</v>
      </c>
      <c r="AF46" s="73"/>
      <c r="AG46" s="73"/>
      <c r="AH46" s="73"/>
      <c r="AI46" s="73"/>
      <c r="AJ46" s="73"/>
      <c r="AK46" s="73"/>
      <c r="AL46" s="73"/>
      <c r="AM46" s="73"/>
      <c r="AN46" s="73"/>
      <c r="AO46" s="73"/>
    </row>
    <row r="47" spans="1:41" s="9" customFormat="1" ht="25.35" customHeight="1" x14ac:dyDescent="0.3">
      <c r="A47" s="403" t="s">
        <v>159</v>
      </c>
      <c r="B47" s="2036" t="s">
        <v>164</v>
      </c>
      <c r="C47" s="2036"/>
      <c r="D47" s="1427">
        <f>SUM(F47,J47,N47,R47,L47)</f>
        <v>0</v>
      </c>
      <c r="E47" s="1427">
        <f>SUM(G47,K47,O47,S47,M47)</f>
        <v>11084719</v>
      </c>
      <c r="F47" s="1427">
        <f t="shared" ref="F47:N47" si="8">SUM(F48:F53)</f>
        <v>0</v>
      </c>
      <c r="G47" s="1427">
        <f>SUM(G48:G53)</f>
        <v>665735</v>
      </c>
      <c r="H47" s="1427">
        <f t="shared" si="8"/>
        <v>0</v>
      </c>
      <c r="I47" s="1427">
        <f t="shared" si="8"/>
        <v>0</v>
      </c>
      <c r="J47" s="1427">
        <f>SUM(J48:J53)</f>
        <v>0</v>
      </c>
      <c r="K47" s="1427">
        <f>SUM(K48:K53)</f>
        <v>0</v>
      </c>
      <c r="L47" s="1427">
        <f>SUM(L48:L53)</f>
        <v>0</v>
      </c>
      <c r="M47" s="1440">
        <f>SUM(M48:M53)</f>
        <v>0</v>
      </c>
      <c r="N47" s="1511">
        <f t="shared" si="8"/>
        <v>0</v>
      </c>
      <c r="O47" s="1516">
        <f>SUM(O48:O53)</f>
        <v>10418984</v>
      </c>
      <c r="P47" s="1516">
        <f>SUM(P48:P53)</f>
        <v>10418984</v>
      </c>
      <c r="Q47" s="1733">
        <f>SUM(Q48:Q53)</f>
        <v>0</v>
      </c>
      <c r="R47" s="1511">
        <f>SUM(R48:R53)</f>
        <v>0</v>
      </c>
      <c r="S47" s="1444">
        <f>SUM(S48:S53)</f>
        <v>0</v>
      </c>
      <c r="T47" s="289">
        <f>V46+X46+Z46+AB46+AD46</f>
        <v>0</v>
      </c>
      <c r="U47" s="289">
        <f>W46+Y46+AA46+AC46+AE46</f>
        <v>14164731</v>
      </c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73"/>
      <c r="AG47" s="73"/>
      <c r="AH47" s="73"/>
      <c r="AI47" s="73"/>
      <c r="AJ47" s="73"/>
      <c r="AK47" s="73"/>
      <c r="AL47" s="73"/>
      <c r="AM47" s="73"/>
      <c r="AN47" s="73"/>
      <c r="AO47" s="73"/>
    </row>
    <row r="48" spans="1:41" s="9" customFormat="1" ht="21.75" customHeight="1" thickBot="1" x14ac:dyDescent="0.35">
      <c r="A48" s="529" t="s">
        <v>160</v>
      </c>
      <c r="B48" s="2025" t="s">
        <v>19</v>
      </c>
      <c r="C48" s="2025"/>
      <c r="D48" s="97">
        <f t="shared" si="4"/>
        <v>0</v>
      </c>
      <c r="E48" s="97">
        <f t="shared" si="5"/>
        <v>10803593</v>
      </c>
      <c r="F48" s="52">
        <v>0</v>
      </c>
      <c r="G48" s="52">
        <v>441278</v>
      </c>
      <c r="H48" s="52">
        <v>0</v>
      </c>
      <c r="I48" s="52">
        <v>0</v>
      </c>
      <c r="J48" s="1433" t="s">
        <v>280</v>
      </c>
      <c r="K48" s="1433" t="s">
        <v>280</v>
      </c>
      <c r="L48" s="1433" t="s">
        <v>280</v>
      </c>
      <c r="M48" s="1497" t="s">
        <v>280</v>
      </c>
      <c r="N48" s="1512">
        <v>0</v>
      </c>
      <c r="O48" s="1486">
        <f>P48+Q48</f>
        <v>10362315</v>
      </c>
      <c r="P48" s="52">
        <v>10362315</v>
      </c>
      <c r="Q48" s="1734">
        <f>'Звіт Пацієнт '!P27</f>
        <v>0</v>
      </c>
      <c r="R48" s="1746" t="s">
        <v>280</v>
      </c>
      <c r="S48" s="1434" t="s">
        <v>280</v>
      </c>
      <c r="T48" s="291">
        <f>T47-T46</f>
        <v>0</v>
      </c>
      <c r="U48" s="291">
        <f>U47-U46</f>
        <v>0</v>
      </c>
      <c r="V48" s="290"/>
      <c r="W48" s="287">
        <f>('Звіт   4,5,6'!W46+'Звіт   4,5,6'!Y46+'Звіт   4,5,6'!AE46+'Звіт   4,5,6'!AA46)/1000</f>
        <v>2853.43</v>
      </c>
      <c r="X48" s="290" t="s">
        <v>755</v>
      </c>
      <c r="Y48" s="290"/>
      <c r="Z48" s="290"/>
      <c r="AA48" s="290"/>
      <c r="AB48" s="290"/>
      <c r="AC48" s="290"/>
      <c r="AD48" s="290"/>
      <c r="AE48" s="290"/>
      <c r="AF48" s="73"/>
      <c r="AG48" s="73"/>
      <c r="AH48" s="73"/>
      <c r="AI48" s="73"/>
      <c r="AJ48" s="73"/>
      <c r="AK48" s="73"/>
      <c r="AL48" s="73"/>
      <c r="AM48" s="73"/>
      <c r="AN48" s="73"/>
      <c r="AO48" s="73"/>
    </row>
    <row r="49" spans="1:41" s="9" customFormat="1" ht="27.75" customHeight="1" x14ac:dyDescent="0.3">
      <c r="A49" s="529" t="s">
        <v>161</v>
      </c>
      <c r="B49" s="2025" t="s">
        <v>947</v>
      </c>
      <c r="C49" s="2025"/>
      <c r="D49" s="97">
        <f t="shared" ref="D49:E55" si="9">SUM(F49,J49,N49,R49,L49)</f>
        <v>0</v>
      </c>
      <c r="E49" s="97">
        <f t="shared" si="9"/>
        <v>70233</v>
      </c>
      <c r="F49" s="52">
        <v>0</v>
      </c>
      <c r="G49" s="52">
        <v>33596</v>
      </c>
      <c r="H49" s="52">
        <v>0</v>
      </c>
      <c r="I49" s="52">
        <v>0</v>
      </c>
      <c r="J49" s="1433"/>
      <c r="K49" s="1433"/>
      <c r="L49" s="1433"/>
      <c r="M49" s="1497"/>
      <c r="N49" s="1512">
        <v>0</v>
      </c>
      <c r="O49" s="1486">
        <f t="shared" ref="O49:O61" si="10">P49+Q49</f>
        <v>36637</v>
      </c>
      <c r="P49" s="52">
        <v>36637</v>
      </c>
      <c r="Q49" s="1734">
        <f>'Звіт Пацієнт '!P28</f>
        <v>0</v>
      </c>
      <c r="R49" s="1746" t="s">
        <v>280</v>
      </c>
      <c r="S49" s="1434" t="s">
        <v>280</v>
      </c>
      <c r="T49" s="291"/>
      <c r="U49" s="291"/>
      <c r="V49" s="290"/>
      <c r="W49" s="291"/>
      <c r="X49" s="290"/>
      <c r="Y49" s="290"/>
      <c r="Z49" s="290"/>
      <c r="AA49" s="290"/>
      <c r="AB49" s="290"/>
      <c r="AC49" s="290"/>
      <c r="AD49" s="290"/>
      <c r="AE49" s="290"/>
      <c r="AF49" s="73"/>
      <c r="AG49" s="73"/>
      <c r="AH49" s="73"/>
      <c r="AI49" s="73"/>
      <c r="AJ49" s="73"/>
      <c r="AK49" s="73"/>
      <c r="AL49" s="73"/>
      <c r="AM49" s="73"/>
      <c r="AN49" s="73"/>
      <c r="AO49" s="73"/>
    </row>
    <row r="50" spans="1:41" s="9" customFormat="1" ht="83.25" customHeight="1" x14ac:dyDescent="0.3">
      <c r="A50" s="529" t="s">
        <v>162</v>
      </c>
      <c r="B50" s="2025" t="s">
        <v>91</v>
      </c>
      <c r="C50" s="2025"/>
      <c r="D50" s="97">
        <f t="shared" si="9"/>
        <v>0</v>
      </c>
      <c r="E50" s="97">
        <f t="shared" si="9"/>
        <v>0</v>
      </c>
      <c r="F50" s="52">
        <v>0</v>
      </c>
      <c r="G50" s="52">
        <v>0</v>
      </c>
      <c r="H50" s="52">
        <v>0</v>
      </c>
      <c r="I50" s="52">
        <v>0</v>
      </c>
      <c r="J50" s="1433" t="s">
        <v>280</v>
      </c>
      <c r="K50" s="1433" t="s">
        <v>280</v>
      </c>
      <c r="L50" s="1433" t="s">
        <v>280</v>
      </c>
      <c r="M50" s="1497" t="s">
        <v>280</v>
      </c>
      <c r="N50" s="1512">
        <v>0</v>
      </c>
      <c r="O50" s="1486">
        <f t="shared" si="10"/>
        <v>0</v>
      </c>
      <c r="P50" s="52">
        <v>0</v>
      </c>
      <c r="Q50" s="1734">
        <f>'Звіт Пацієнт '!P29</f>
        <v>0</v>
      </c>
      <c r="R50" s="1746" t="s">
        <v>280</v>
      </c>
      <c r="S50" s="1434" t="s">
        <v>280</v>
      </c>
      <c r="T50" s="291"/>
      <c r="U50" s="291"/>
      <c r="V50" s="290"/>
      <c r="W50" s="291"/>
      <c r="X50" s="290"/>
      <c r="Y50" s="290"/>
      <c r="Z50" s="290"/>
      <c r="AA50" s="290"/>
      <c r="AB50" s="290"/>
      <c r="AC50" s="290"/>
      <c r="AD50" s="290"/>
      <c r="AE50" s="290"/>
      <c r="AF50" s="73"/>
      <c r="AG50" s="73"/>
      <c r="AH50" s="73"/>
      <c r="AI50" s="73"/>
      <c r="AJ50" s="73"/>
      <c r="AK50" s="73"/>
      <c r="AL50" s="73"/>
      <c r="AM50" s="73"/>
      <c r="AN50" s="73"/>
      <c r="AO50" s="73"/>
    </row>
    <row r="51" spans="1:41" s="9" customFormat="1" ht="26.25" customHeight="1" x14ac:dyDescent="0.3">
      <c r="A51" s="529" t="s">
        <v>163</v>
      </c>
      <c r="B51" s="2025" t="s">
        <v>906</v>
      </c>
      <c r="C51" s="2025"/>
      <c r="D51" s="97">
        <f t="shared" si="9"/>
        <v>0</v>
      </c>
      <c r="E51" s="97">
        <f t="shared" si="9"/>
        <v>0</v>
      </c>
      <c r="F51" s="52">
        <v>0</v>
      </c>
      <c r="G51" s="52">
        <v>0</v>
      </c>
      <c r="H51" s="52">
        <v>0</v>
      </c>
      <c r="I51" s="52">
        <v>0</v>
      </c>
      <c r="J51" s="1433" t="s">
        <v>280</v>
      </c>
      <c r="K51" s="1433" t="s">
        <v>280</v>
      </c>
      <c r="L51" s="1433" t="s">
        <v>280</v>
      </c>
      <c r="M51" s="1497" t="s">
        <v>280</v>
      </c>
      <c r="N51" s="1512">
        <v>0</v>
      </c>
      <c r="O51" s="1486">
        <f t="shared" si="10"/>
        <v>0</v>
      </c>
      <c r="P51" s="52">
        <v>0</v>
      </c>
      <c r="Q51" s="1734">
        <f>'Звіт Пацієнт '!P30</f>
        <v>0</v>
      </c>
      <c r="R51" s="1746" t="s">
        <v>280</v>
      </c>
      <c r="S51" s="1434" t="s">
        <v>280</v>
      </c>
      <c r="T51" s="291"/>
      <c r="U51" s="291"/>
      <c r="V51" s="290"/>
      <c r="W51" s="291"/>
      <c r="X51" s="290"/>
      <c r="Y51" s="290"/>
      <c r="Z51" s="290"/>
      <c r="AA51" s="290"/>
      <c r="AB51" s="290"/>
      <c r="AC51" s="290"/>
      <c r="AD51" s="290"/>
      <c r="AE51" s="290"/>
      <c r="AF51" s="73"/>
      <c r="AG51" s="73"/>
      <c r="AH51" s="73"/>
      <c r="AI51" s="73"/>
      <c r="AJ51" s="73"/>
      <c r="AK51" s="73"/>
      <c r="AL51" s="73"/>
      <c r="AM51" s="73"/>
      <c r="AN51" s="73"/>
      <c r="AO51" s="73"/>
    </row>
    <row r="52" spans="1:41" s="9" customFormat="1" ht="20.25" customHeight="1" x14ac:dyDescent="0.3">
      <c r="A52" s="529" t="s">
        <v>321</v>
      </c>
      <c r="B52" s="2025" t="s">
        <v>907</v>
      </c>
      <c r="C52" s="2025"/>
      <c r="D52" s="97">
        <f t="shared" si="9"/>
        <v>0</v>
      </c>
      <c r="E52" s="97">
        <f t="shared" si="9"/>
        <v>0</v>
      </c>
      <c r="F52" s="52">
        <v>0</v>
      </c>
      <c r="G52" s="52">
        <v>0</v>
      </c>
      <c r="H52" s="52">
        <v>0</v>
      </c>
      <c r="I52" s="52">
        <v>0</v>
      </c>
      <c r="J52" s="1433" t="s">
        <v>280</v>
      </c>
      <c r="K52" s="1433" t="s">
        <v>280</v>
      </c>
      <c r="L52" s="1433" t="s">
        <v>280</v>
      </c>
      <c r="M52" s="1497" t="s">
        <v>280</v>
      </c>
      <c r="N52" s="1512">
        <v>0</v>
      </c>
      <c r="O52" s="1486">
        <f t="shared" si="10"/>
        <v>0</v>
      </c>
      <c r="P52" s="52">
        <v>0</v>
      </c>
      <c r="Q52" s="1734">
        <f>'Звіт Пацієнт '!P31</f>
        <v>0</v>
      </c>
      <c r="R52" s="1746" t="s">
        <v>280</v>
      </c>
      <c r="S52" s="1434" t="s">
        <v>280</v>
      </c>
      <c r="T52" s="291"/>
      <c r="U52" s="291"/>
      <c r="V52" s="290"/>
      <c r="W52" s="291"/>
      <c r="X52" s="290"/>
      <c r="Y52" s="290"/>
      <c r="Z52" s="290"/>
      <c r="AA52" s="290"/>
      <c r="AB52" s="290"/>
      <c r="AC52" s="290"/>
      <c r="AD52" s="290"/>
      <c r="AE52" s="290"/>
      <c r="AF52" s="73"/>
      <c r="AG52" s="73"/>
      <c r="AH52" s="73"/>
      <c r="AI52" s="73"/>
      <c r="AJ52" s="73"/>
      <c r="AK52" s="73"/>
      <c r="AL52" s="73"/>
      <c r="AM52" s="73"/>
      <c r="AN52" s="73"/>
      <c r="AO52" s="73"/>
    </row>
    <row r="53" spans="1:41" s="9" customFormat="1" ht="26.65" customHeight="1" thickBot="1" x14ac:dyDescent="0.35">
      <c r="A53" s="530" t="s">
        <v>909</v>
      </c>
      <c r="B53" s="2054" t="s">
        <v>322</v>
      </c>
      <c r="C53" s="2054"/>
      <c r="D53" s="1425">
        <f t="shared" si="9"/>
        <v>0</v>
      </c>
      <c r="E53" s="1425">
        <f t="shared" si="9"/>
        <v>210893</v>
      </c>
      <c r="F53" s="56">
        <v>0</v>
      </c>
      <c r="G53" s="56">
        <v>190861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1491">
        <v>0</v>
      </c>
      <c r="N53" s="1509">
        <v>0</v>
      </c>
      <c r="O53" s="1489">
        <f t="shared" si="10"/>
        <v>20032</v>
      </c>
      <c r="P53" s="184">
        <v>20032</v>
      </c>
      <c r="Q53" s="1735">
        <f>'Звіт Пацієнт '!P32</f>
        <v>0</v>
      </c>
      <c r="R53" s="1509">
        <v>0</v>
      </c>
      <c r="S53" s="278">
        <v>0</v>
      </c>
      <c r="T53" s="150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</row>
    <row r="54" spans="1:41" s="9" customFormat="1" ht="26.65" customHeight="1" x14ac:dyDescent="0.3">
      <c r="A54" s="403" t="s">
        <v>165</v>
      </c>
      <c r="B54" s="2053" t="s">
        <v>304</v>
      </c>
      <c r="C54" s="2053"/>
      <c r="D54" s="1428">
        <f t="shared" si="9"/>
        <v>0</v>
      </c>
      <c r="E54" s="1428">
        <f t="shared" si="9"/>
        <v>753102</v>
      </c>
      <c r="F54" s="995">
        <v>0</v>
      </c>
      <c r="G54" s="995">
        <v>244692</v>
      </c>
      <c r="H54" s="1435" t="s">
        <v>280</v>
      </c>
      <c r="I54" s="1435" t="s">
        <v>280</v>
      </c>
      <c r="J54" s="995">
        <v>0</v>
      </c>
      <c r="K54" s="995">
        <v>0</v>
      </c>
      <c r="L54" s="995">
        <v>0</v>
      </c>
      <c r="M54" s="1498">
        <v>0</v>
      </c>
      <c r="N54" s="1513">
        <v>0</v>
      </c>
      <c r="O54" s="1522">
        <f t="shared" si="10"/>
        <v>508410</v>
      </c>
      <c r="P54" s="995">
        <v>508410</v>
      </c>
      <c r="Q54" s="1767">
        <f>'Звіт Пацієнт '!P33</f>
        <v>0</v>
      </c>
      <c r="R54" s="1513">
        <v>0</v>
      </c>
      <c r="S54" s="996">
        <v>0</v>
      </c>
      <c r="T54" s="150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</row>
    <row r="55" spans="1:41" s="9" customFormat="1" ht="25.35" customHeight="1" x14ac:dyDescent="0.3">
      <c r="A55" s="979" t="s">
        <v>166</v>
      </c>
      <c r="B55" s="2055" t="s">
        <v>20</v>
      </c>
      <c r="C55" s="2055"/>
      <c r="D55" s="1429">
        <f t="shared" si="9"/>
        <v>0</v>
      </c>
      <c r="E55" s="1429">
        <f t="shared" si="9"/>
        <v>1414719</v>
      </c>
      <c r="F55" s="52">
        <v>0</v>
      </c>
      <c r="G55" s="52">
        <v>1323085</v>
      </c>
      <c r="H55" s="1436" t="s">
        <v>280</v>
      </c>
      <c r="I55" s="1436" t="s">
        <v>280</v>
      </c>
      <c r="J55" s="52">
        <v>0</v>
      </c>
      <c r="K55" s="52">
        <v>0</v>
      </c>
      <c r="L55" s="52">
        <v>0</v>
      </c>
      <c r="M55" s="1499">
        <v>0</v>
      </c>
      <c r="N55" s="1512">
        <v>0</v>
      </c>
      <c r="O55" s="1486">
        <f t="shared" si="10"/>
        <v>91634</v>
      </c>
      <c r="P55" s="52">
        <v>91634</v>
      </c>
      <c r="Q55" s="1768">
        <f>'Звіт Пацієнт '!P34</f>
        <v>0</v>
      </c>
      <c r="R55" s="1512">
        <v>0</v>
      </c>
      <c r="S55" s="55">
        <v>0</v>
      </c>
      <c r="T55" s="150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</row>
    <row r="56" spans="1:41" s="9" customFormat="1" ht="25.35" customHeight="1" x14ac:dyDescent="0.3">
      <c r="A56" s="979" t="s">
        <v>167</v>
      </c>
      <c r="B56" s="1918" t="s">
        <v>25</v>
      </c>
      <c r="C56" s="1918"/>
      <c r="D56" s="97">
        <f t="shared" si="4"/>
        <v>0</v>
      </c>
      <c r="E56" s="97">
        <f t="shared" si="5"/>
        <v>6068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1499">
        <v>0</v>
      </c>
      <c r="N56" s="1512">
        <v>0</v>
      </c>
      <c r="O56" s="1486">
        <f t="shared" si="10"/>
        <v>0</v>
      </c>
      <c r="P56" s="52">
        <v>0</v>
      </c>
      <c r="Q56" s="1768">
        <f>'Звіт Пацієнт '!P35</f>
        <v>0</v>
      </c>
      <c r="R56" s="1512">
        <v>0</v>
      </c>
      <c r="S56" s="55">
        <v>6068</v>
      </c>
      <c r="T56" s="150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</row>
    <row r="57" spans="1:41" s="9" customFormat="1" ht="25.35" customHeight="1" thickBot="1" x14ac:dyDescent="0.35">
      <c r="A57" s="979" t="s">
        <v>168</v>
      </c>
      <c r="B57" s="1918" t="s">
        <v>21</v>
      </c>
      <c r="C57" s="1918"/>
      <c r="D57" s="97">
        <f t="shared" si="4"/>
        <v>0</v>
      </c>
      <c r="E57" s="97">
        <f t="shared" si="5"/>
        <v>41101</v>
      </c>
      <c r="F57" s="52">
        <v>0</v>
      </c>
      <c r="G57" s="52">
        <v>36775</v>
      </c>
      <c r="H57" s="1436" t="s">
        <v>280</v>
      </c>
      <c r="I57" s="1436" t="s">
        <v>280</v>
      </c>
      <c r="J57" s="52">
        <v>0</v>
      </c>
      <c r="K57" s="52">
        <v>0</v>
      </c>
      <c r="L57" s="52">
        <v>0</v>
      </c>
      <c r="M57" s="1499">
        <v>0</v>
      </c>
      <c r="N57" s="1510">
        <v>0</v>
      </c>
      <c r="O57" s="1523">
        <f t="shared" si="10"/>
        <v>4326</v>
      </c>
      <c r="P57" s="52">
        <v>4326</v>
      </c>
      <c r="Q57" s="1768">
        <f>'Звіт Пацієнт '!P36</f>
        <v>0</v>
      </c>
      <c r="R57" s="1510">
        <v>0</v>
      </c>
      <c r="S57" s="57">
        <v>0</v>
      </c>
      <c r="T57" s="150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>
        <v>1</v>
      </c>
      <c r="AL57" s="73"/>
      <c r="AM57" s="73"/>
      <c r="AN57" s="73"/>
      <c r="AO57" s="73"/>
    </row>
    <row r="58" spans="1:41" s="9" customFormat="1" ht="21.6" customHeight="1" x14ac:dyDescent="0.3">
      <c r="A58" s="979" t="s">
        <v>169</v>
      </c>
      <c r="B58" s="1918" t="s">
        <v>22</v>
      </c>
      <c r="C58" s="1918"/>
      <c r="D58" s="97">
        <f t="shared" si="4"/>
        <v>0</v>
      </c>
      <c r="E58" s="97">
        <f t="shared" si="5"/>
        <v>130172</v>
      </c>
      <c r="F58" s="52">
        <v>0</v>
      </c>
      <c r="G58" s="52">
        <v>64581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1499">
        <v>0</v>
      </c>
      <c r="N58" s="1519">
        <v>0</v>
      </c>
      <c r="O58" s="1516">
        <f t="shared" si="10"/>
        <v>65591</v>
      </c>
      <c r="P58" s="52">
        <v>65591</v>
      </c>
      <c r="Q58" s="1768">
        <f>'Звіт Пацієнт '!P37</f>
        <v>0</v>
      </c>
      <c r="R58" s="1519">
        <v>0</v>
      </c>
      <c r="S58" s="1521">
        <v>0</v>
      </c>
      <c r="T58" s="150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</row>
    <row r="59" spans="1:41" s="9" customFormat="1" ht="36.6" customHeight="1" x14ac:dyDescent="0.3">
      <c r="A59" s="979" t="s">
        <v>170</v>
      </c>
      <c r="B59" s="2033" t="s">
        <v>201</v>
      </c>
      <c r="C59" s="2033"/>
      <c r="D59" s="97">
        <f t="shared" si="4"/>
        <v>0</v>
      </c>
      <c r="E59" s="97">
        <f t="shared" si="5"/>
        <v>4437286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1499">
        <v>0</v>
      </c>
      <c r="N59" s="1512">
        <v>0</v>
      </c>
      <c r="O59" s="1486">
        <f t="shared" si="10"/>
        <v>4437286</v>
      </c>
      <c r="P59" s="52">
        <v>4437286</v>
      </c>
      <c r="Q59" s="1768">
        <f>'Звіт Пацієнт '!P38</f>
        <v>0</v>
      </c>
      <c r="R59" s="1512">
        <v>0</v>
      </c>
      <c r="S59" s="55">
        <v>0</v>
      </c>
      <c r="T59" s="150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</row>
    <row r="60" spans="1:41" s="9" customFormat="1" ht="24" customHeight="1" x14ac:dyDescent="0.3">
      <c r="A60" s="979" t="s">
        <v>171</v>
      </c>
      <c r="B60" s="1918" t="s">
        <v>23</v>
      </c>
      <c r="C60" s="1918"/>
      <c r="D60" s="97">
        <f t="shared" si="4"/>
        <v>0</v>
      </c>
      <c r="E60" s="97">
        <f t="shared" si="5"/>
        <v>0</v>
      </c>
      <c r="F60" s="52">
        <v>0</v>
      </c>
      <c r="G60" s="52">
        <v>0</v>
      </c>
      <c r="H60" s="1436" t="s">
        <v>280</v>
      </c>
      <c r="I60" s="1436" t="s">
        <v>280</v>
      </c>
      <c r="J60" s="52">
        <v>0</v>
      </c>
      <c r="K60" s="52">
        <v>0</v>
      </c>
      <c r="L60" s="52">
        <v>0</v>
      </c>
      <c r="M60" s="1499">
        <v>0</v>
      </c>
      <c r="N60" s="1512">
        <v>0</v>
      </c>
      <c r="O60" s="1486">
        <f t="shared" si="10"/>
        <v>0</v>
      </c>
      <c r="P60" s="52">
        <v>0</v>
      </c>
      <c r="Q60" s="1768">
        <f>'Звіт Пацієнт '!P39</f>
        <v>0</v>
      </c>
      <c r="R60" s="1512">
        <v>0</v>
      </c>
      <c r="S60" s="55">
        <v>0</v>
      </c>
      <c r="T60" s="150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</row>
    <row r="61" spans="1:41" s="9" customFormat="1" ht="24" customHeight="1" x14ac:dyDescent="0.3">
      <c r="A61" s="979" t="s">
        <v>910</v>
      </c>
      <c r="B61" s="1918" t="s">
        <v>24</v>
      </c>
      <c r="C61" s="1918"/>
      <c r="D61" s="97">
        <f t="shared" si="4"/>
        <v>0</v>
      </c>
      <c r="E61" s="97">
        <f t="shared" si="5"/>
        <v>452839</v>
      </c>
      <c r="F61" s="52">
        <v>0</v>
      </c>
      <c r="G61" s="52">
        <v>230484</v>
      </c>
      <c r="H61" s="1436" t="s">
        <v>280</v>
      </c>
      <c r="I61" s="1436" t="s">
        <v>280</v>
      </c>
      <c r="J61" s="52">
        <v>0</v>
      </c>
      <c r="K61" s="52">
        <v>0</v>
      </c>
      <c r="L61" s="52">
        <v>0</v>
      </c>
      <c r="M61" s="1499">
        <v>0</v>
      </c>
      <c r="N61" s="1512">
        <v>0</v>
      </c>
      <c r="O61" s="1486">
        <f t="shared" si="10"/>
        <v>222355</v>
      </c>
      <c r="P61" s="52">
        <v>222355</v>
      </c>
      <c r="Q61" s="1768">
        <f>'Звіт Пацієнт '!P40</f>
        <v>0</v>
      </c>
      <c r="R61" s="1512">
        <v>0</v>
      </c>
      <c r="S61" s="55">
        <v>0</v>
      </c>
      <c r="T61" s="150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</row>
    <row r="62" spans="1:41" s="9" customFormat="1" ht="24" customHeight="1" x14ac:dyDescent="0.3">
      <c r="A62" s="279" t="s">
        <v>172</v>
      </c>
      <c r="B62" s="2009" t="s">
        <v>593</v>
      </c>
      <c r="C62" s="2009"/>
      <c r="D62" s="1430">
        <f t="shared" si="4"/>
        <v>0</v>
      </c>
      <c r="E62" s="1430">
        <f t="shared" si="5"/>
        <v>199718</v>
      </c>
      <c r="F62" s="1430">
        <f>SUM(F63,F64,F65,F66,F67,F68)</f>
        <v>0</v>
      </c>
      <c r="G62" s="1430">
        <f>SUM(G63,G64,G65,G66,G67,G68)</f>
        <v>199718</v>
      </c>
      <c r="H62" s="1437" t="s">
        <v>280</v>
      </c>
      <c r="I62" s="1437" t="s">
        <v>280</v>
      </c>
      <c r="J62" s="1430">
        <f t="shared" ref="J62:S62" si="11">SUM(J63,J64,J65,J66,J67,J68)</f>
        <v>0</v>
      </c>
      <c r="K62" s="1430">
        <f t="shared" si="11"/>
        <v>0</v>
      </c>
      <c r="L62" s="1430">
        <f>SUM(L63,L64,L65,L66,L67,L68)</f>
        <v>0</v>
      </c>
      <c r="M62" s="1500">
        <f>SUM(M63,M64,M65,M66,M67,M68)</f>
        <v>0</v>
      </c>
      <c r="N62" s="1514">
        <f t="shared" si="11"/>
        <v>0</v>
      </c>
      <c r="O62" s="1623">
        <f>SUM(O63,O64,O65,O66,O67,O68)</f>
        <v>0</v>
      </c>
      <c r="P62" s="1486">
        <f>SUM(P63,P64,P65,P66,P67,P68)</f>
        <v>0</v>
      </c>
      <c r="Q62" s="1769" t="s">
        <v>280</v>
      </c>
      <c r="R62" s="1514">
        <f t="shared" si="11"/>
        <v>0</v>
      </c>
      <c r="S62" s="1439">
        <f t="shared" si="11"/>
        <v>0</v>
      </c>
      <c r="T62" s="149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</row>
    <row r="63" spans="1:41" s="9" customFormat="1" ht="24" customHeight="1" x14ac:dyDescent="0.3">
      <c r="A63" s="979" t="s">
        <v>911</v>
      </c>
      <c r="B63" s="2025" t="s">
        <v>594</v>
      </c>
      <c r="C63" s="2025"/>
      <c r="D63" s="97">
        <f t="shared" si="4"/>
        <v>0</v>
      </c>
      <c r="E63" s="97">
        <f t="shared" si="5"/>
        <v>149246</v>
      </c>
      <c r="F63" s="184">
        <v>0</v>
      </c>
      <c r="G63" s="184">
        <v>149246</v>
      </c>
      <c r="H63" s="1436" t="s">
        <v>280</v>
      </c>
      <c r="I63" s="1436" t="s">
        <v>280</v>
      </c>
      <c r="J63" s="1438" t="s">
        <v>280</v>
      </c>
      <c r="K63" s="1438" t="s">
        <v>280</v>
      </c>
      <c r="L63" s="1438" t="s">
        <v>280</v>
      </c>
      <c r="M63" s="1501" t="s">
        <v>280</v>
      </c>
      <c r="N63" s="1509">
        <v>0</v>
      </c>
      <c r="O63" s="1486">
        <f t="shared" ref="O63:O68" si="12">P63</f>
        <v>0</v>
      </c>
      <c r="P63" s="184">
        <v>0</v>
      </c>
      <c r="Q63" s="1769" t="s">
        <v>280</v>
      </c>
      <c r="R63" s="1509">
        <v>0</v>
      </c>
      <c r="S63" s="278">
        <v>0</v>
      </c>
      <c r="T63" s="150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</row>
    <row r="64" spans="1:41" s="9" customFormat="1" ht="24" customHeight="1" x14ac:dyDescent="0.3">
      <c r="A64" s="979" t="s">
        <v>912</v>
      </c>
      <c r="B64" s="2025" t="s">
        <v>595</v>
      </c>
      <c r="C64" s="2025"/>
      <c r="D64" s="97">
        <f t="shared" si="4"/>
        <v>0</v>
      </c>
      <c r="E64" s="97">
        <f t="shared" si="5"/>
        <v>0</v>
      </c>
      <c r="F64" s="184">
        <v>0</v>
      </c>
      <c r="G64" s="184">
        <v>0</v>
      </c>
      <c r="H64" s="1436" t="s">
        <v>280</v>
      </c>
      <c r="I64" s="1436" t="s">
        <v>280</v>
      </c>
      <c r="J64" s="184">
        <v>0</v>
      </c>
      <c r="K64" s="184">
        <v>0</v>
      </c>
      <c r="L64" s="184">
        <v>0</v>
      </c>
      <c r="M64" s="1490">
        <v>0</v>
      </c>
      <c r="N64" s="1509">
        <v>0</v>
      </c>
      <c r="O64" s="1486">
        <f t="shared" si="12"/>
        <v>0</v>
      </c>
      <c r="P64" s="184">
        <v>0</v>
      </c>
      <c r="Q64" s="1769" t="s">
        <v>280</v>
      </c>
      <c r="R64" s="1509">
        <v>0</v>
      </c>
      <c r="S64" s="278">
        <v>0</v>
      </c>
      <c r="T64" s="150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</row>
    <row r="65" spans="1:41" s="9" customFormat="1" ht="24" customHeight="1" x14ac:dyDescent="0.3">
      <c r="A65" s="979" t="s">
        <v>913</v>
      </c>
      <c r="B65" s="2025" t="s">
        <v>596</v>
      </c>
      <c r="C65" s="2025"/>
      <c r="D65" s="97">
        <f t="shared" si="4"/>
        <v>0</v>
      </c>
      <c r="E65" s="97">
        <f t="shared" si="5"/>
        <v>25472</v>
      </c>
      <c r="F65" s="184">
        <v>0</v>
      </c>
      <c r="G65" s="184">
        <v>25472</v>
      </c>
      <c r="H65" s="1436" t="s">
        <v>280</v>
      </c>
      <c r="I65" s="1436" t="s">
        <v>280</v>
      </c>
      <c r="J65" s="184">
        <v>0</v>
      </c>
      <c r="K65" s="184">
        <v>0</v>
      </c>
      <c r="L65" s="184">
        <v>0</v>
      </c>
      <c r="M65" s="1490">
        <v>0</v>
      </c>
      <c r="N65" s="1509">
        <v>0</v>
      </c>
      <c r="O65" s="1486">
        <f t="shared" si="12"/>
        <v>0</v>
      </c>
      <c r="P65" s="184">
        <v>0</v>
      </c>
      <c r="Q65" s="1769" t="s">
        <v>280</v>
      </c>
      <c r="R65" s="1509">
        <v>0</v>
      </c>
      <c r="S65" s="278">
        <v>0</v>
      </c>
      <c r="T65" s="150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</row>
    <row r="66" spans="1:41" s="9" customFormat="1" ht="24" customHeight="1" x14ac:dyDescent="0.3">
      <c r="A66" s="979" t="s">
        <v>914</v>
      </c>
      <c r="B66" s="2025" t="s">
        <v>597</v>
      </c>
      <c r="C66" s="2025"/>
      <c r="D66" s="97">
        <f t="shared" si="4"/>
        <v>0</v>
      </c>
      <c r="E66" s="97">
        <f t="shared" si="5"/>
        <v>0</v>
      </c>
      <c r="F66" s="184">
        <v>0</v>
      </c>
      <c r="G66" s="184">
        <v>0</v>
      </c>
      <c r="H66" s="1436" t="s">
        <v>280</v>
      </c>
      <c r="I66" s="1436" t="s">
        <v>280</v>
      </c>
      <c r="J66" s="184">
        <v>0</v>
      </c>
      <c r="K66" s="184">
        <v>0</v>
      </c>
      <c r="L66" s="184">
        <v>0</v>
      </c>
      <c r="M66" s="1490">
        <v>0</v>
      </c>
      <c r="N66" s="1509">
        <v>0</v>
      </c>
      <c r="O66" s="1486">
        <f t="shared" si="12"/>
        <v>0</v>
      </c>
      <c r="P66" s="184">
        <v>0</v>
      </c>
      <c r="Q66" s="1769" t="s">
        <v>280</v>
      </c>
      <c r="R66" s="1509">
        <v>0</v>
      </c>
      <c r="S66" s="278">
        <v>0</v>
      </c>
      <c r="T66" s="150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</row>
    <row r="67" spans="1:41" s="9" customFormat="1" ht="39" customHeight="1" x14ac:dyDescent="0.3">
      <c r="A67" s="979" t="s">
        <v>915</v>
      </c>
      <c r="B67" s="2025" t="s">
        <v>1000</v>
      </c>
      <c r="C67" s="2025"/>
      <c r="D67" s="97">
        <f t="shared" si="4"/>
        <v>0</v>
      </c>
      <c r="E67" s="97">
        <f t="shared" si="5"/>
        <v>0</v>
      </c>
      <c r="F67" s="184">
        <v>0</v>
      </c>
      <c r="G67" s="184">
        <v>0</v>
      </c>
      <c r="H67" s="1436" t="s">
        <v>280</v>
      </c>
      <c r="I67" s="1436" t="s">
        <v>280</v>
      </c>
      <c r="J67" s="184">
        <v>0</v>
      </c>
      <c r="K67" s="184">
        <v>0</v>
      </c>
      <c r="L67" s="184">
        <v>0</v>
      </c>
      <c r="M67" s="1490">
        <v>0</v>
      </c>
      <c r="N67" s="1509">
        <v>0</v>
      </c>
      <c r="O67" s="1486">
        <f t="shared" si="12"/>
        <v>0</v>
      </c>
      <c r="P67" s="184">
        <v>0</v>
      </c>
      <c r="Q67" s="1769" t="s">
        <v>280</v>
      </c>
      <c r="R67" s="1509">
        <v>0</v>
      </c>
      <c r="S67" s="278">
        <v>0</v>
      </c>
      <c r="T67" s="150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</row>
    <row r="68" spans="1:41" s="9" customFormat="1" ht="24" customHeight="1" x14ac:dyDescent="0.3">
      <c r="A68" s="979" t="s">
        <v>916</v>
      </c>
      <c r="B68" s="2025" t="s">
        <v>598</v>
      </c>
      <c r="C68" s="2025"/>
      <c r="D68" s="97">
        <f t="shared" si="4"/>
        <v>0</v>
      </c>
      <c r="E68" s="97">
        <f t="shared" si="5"/>
        <v>25000</v>
      </c>
      <c r="F68" s="184">
        <v>0</v>
      </c>
      <c r="G68" s="184">
        <v>25000</v>
      </c>
      <c r="H68" s="1436" t="s">
        <v>280</v>
      </c>
      <c r="I68" s="1436" t="s">
        <v>280</v>
      </c>
      <c r="J68" s="184">
        <v>0</v>
      </c>
      <c r="K68" s="184">
        <v>0</v>
      </c>
      <c r="L68" s="184">
        <v>0</v>
      </c>
      <c r="M68" s="1490">
        <v>0</v>
      </c>
      <c r="N68" s="1509">
        <v>0</v>
      </c>
      <c r="O68" s="1486">
        <f t="shared" si="12"/>
        <v>0</v>
      </c>
      <c r="P68" s="184">
        <v>0</v>
      </c>
      <c r="Q68" s="1769" t="s">
        <v>280</v>
      </c>
      <c r="R68" s="1509">
        <v>0</v>
      </c>
      <c r="S68" s="278">
        <v>0</v>
      </c>
      <c r="T68" s="150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</row>
    <row r="69" spans="1:41" s="9" customFormat="1" ht="24" customHeight="1" thickBot="1" x14ac:dyDescent="0.35">
      <c r="A69" s="978" t="s">
        <v>173</v>
      </c>
      <c r="B69" s="2034" t="s">
        <v>42</v>
      </c>
      <c r="C69" s="2034"/>
      <c r="D69" s="1425">
        <f t="shared" si="4"/>
        <v>0</v>
      </c>
      <c r="E69" s="1425">
        <f t="shared" si="5"/>
        <v>282011</v>
      </c>
      <c r="F69" s="56">
        <v>0</v>
      </c>
      <c r="G69" s="56">
        <v>282011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1491">
        <v>0</v>
      </c>
      <c r="N69" s="1510">
        <v>0</v>
      </c>
      <c r="O69" s="1523">
        <f>P69+Q69</f>
        <v>0</v>
      </c>
      <c r="P69" s="56">
        <v>0</v>
      </c>
      <c r="Q69" s="1770">
        <f>'Звіт Пацієнт '!P41</f>
        <v>0</v>
      </c>
      <c r="R69" s="1509">
        <v>0</v>
      </c>
      <c r="S69" s="278">
        <v>0</v>
      </c>
      <c r="T69" s="150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</row>
    <row r="70" spans="1:41" s="9" customFormat="1" ht="24" customHeight="1" x14ac:dyDescent="0.3">
      <c r="A70" s="185" t="s">
        <v>174</v>
      </c>
      <c r="B70" s="2028" t="s">
        <v>26</v>
      </c>
      <c r="C70" s="2028"/>
      <c r="D70" s="1427">
        <f t="shared" si="4"/>
        <v>0</v>
      </c>
      <c r="E70" s="1427">
        <f t="shared" si="5"/>
        <v>2655004</v>
      </c>
      <c r="F70" s="1427">
        <f>SUM(F71,F72,F73,F74,F75,F81,F82,F83,F84,F85,F86,F87,F88,F89,F91,F90)</f>
        <v>0</v>
      </c>
      <c r="G70" s="1427">
        <f>SUM(G71,G72,G73,G74,G75,G81,G82,G83,G84,G85,G86,G87,G88,G89,G91,G90)</f>
        <v>643735</v>
      </c>
      <c r="H70" s="1427">
        <f t="shared" ref="H70:M70" si="13">SUM(H71,H72,H73,H74,H75,H81,H82,H83,H84,H85,H86,H87,H88,H89,H91)</f>
        <v>0</v>
      </c>
      <c r="I70" s="1427">
        <f t="shared" si="13"/>
        <v>0</v>
      </c>
      <c r="J70" s="1427">
        <f t="shared" si="13"/>
        <v>0</v>
      </c>
      <c r="K70" s="1427">
        <f>SUM(K71,K72,K73,K74,K75,K81,K82,K83,K84,K85,K86,K87,K88,K89,K91)</f>
        <v>2011269</v>
      </c>
      <c r="L70" s="1427">
        <f t="shared" si="13"/>
        <v>0</v>
      </c>
      <c r="M70" s="1440">
        <f t="shared" si="13"/>
        <v>0</v>
      </c>
      <c r="N70" s="1511">
        <f t="shared" ref="N70:S70" si="14">SUM(N71,N72,N73,N74,N75,N81,N82,N83,N84,N85,N86,N87,N88,N89,N91,N90)</f>
        <v>0</v>
      </c>
      <c r="O70" s="1522">
        <f t="shared" si="14"/>
        <v>0</v>
      </c>
      <c r="P70" s="1522">
        <f t="shared" si="14"/>
        <v>0</v>
      </c>
      <c r="Q70" s="1736">
        <f>Q73+Q74</f>
        <v>0</v>
      </c>
      <c r="R70" s="1511">
        <f t="shared" si="14"/>
        <v>0</v>
      </c>
      <c r="S70" s="1444">
        <f t="shared" si="14"/>
        <v>0</v>
      </c>
      <c r="T70" s="149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</row>
    <row r="71" spans="1:41" s="9" customFormat="1" ht="24" customHeight="1" x14ac:dyDescent="0.3">
      <c r="A71" s="264" t="s">
        <v>284</v>
      </c>
      <c r="B71" s="1918" t="s">
        <v>27</v>
      </c>
      <c r="C71" s="1918"/>
      <c r="D71" s="97">
        <f t="shared" si="4"/>
        <v>0</v>
      </c>
      <c r="E71" s="97">
        <f t="shared" si="5"/>
        <v>4984</v>
      </c>
      <c r="F71" s="184">
        <v>0</v>
      </c>
      <c r="G71" s="184">
        <v>4984</v>
      </c>
      <c r="H71" s="1436" t="s">
        <v>280</v>
      </c>
      <c r="I71" s="1436" t="s">
        <v>280</v>
      </c>
      <c r="J71" s="184">
        <v>0</v>
      </c>
      <c r="K71" s="184">
        <v>0</v>
      </c>
      <c r="L71" s="184">
        <v>0</v>
      </c>
      <c r="M71" s="1490">
        <v>0</v>
      </c>
      <c r="N71" s="1512">
        <v>0</v>
      </c>
      <c r="O71" s="1486">
        <f>P71</f>
        <v>0</v>
      </c>
      <c r="P71" s="52">
        <v>0</v>
      </c>
      <c r="Q71" s="1737" t="s">
        <v>280</v>
      </c>
      <c r="R71" s="1512">
        <v>0</v>
      </c>
      <c r="S71" s="55">
        <v>0</v>
      </c>
      <c r="T71" s="150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</row>
    <row r="72" spans="1:41" s="9" customFormat="1" ht="41.1" customHeight="1" x14ac:dyDescent="0.3">
      <c r="A72" s="264" t="s">
        <v>285</v>
      </c>
      <c r="B72" s="1918" t="s">
        <v>28</v>
      </c>
      <c r="C72" s="1918"/>
      <c r="D72" s="97">
        <f t="shared" si="4"/>
        <v>0</v>
      </c>
      <c r="E72" s="97">
        <f t="shared" si="5"/>
        <v>0</v>
      </c>
      <c r="F72" s="184">
        <v>0</v>
      </c>
      <c r="G72" s="184">
        <v>0</v>
      </c>
      <c r="H72" s="1436" t="s">
        <v>280</v>
      </c>
      <c r="I72" s="1436" t="s">
        <v>280</v>
      </c>
      <c r="J72" s="184">
        <v>0</v>
      </c>
      <c r="K72" s="184">
        <v>0</v>
      </c>
      <c r="L72" s="184">
        <v>0</v>
      </c>
      <c r="M72" s="1490">
        <v>0</v>
      </c>
      <c r="N72" s="1512">
        <v>0</v>
      </c>
      <c r="O72" s="1486">
        <f>P72</f>
        <v>0</v>
      </c>
      <c r="P72" s="52">
        <v>0</v>
      </c>
      <c r="Q72" s="1737" t="s">
        <v>280</v>
      </c>
      <c r="R72" s="1512">
        <v>0</v>
      </c>
      <c r="S72" s="55">
        <v>0</v>
      </c>
      <c r="T72" s="150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</row>
    <row r="73" spans="1:41" s="9" customFormat="1" ht="25.35" customHeight="1" x14ac:dyDescent="0.3">
      <c r="A73" s="264" t="s">
        <v>286</v>
      </c>
      <c r="B73" s="1918" t="s">
        <v>244</v>
      </c>
      <c r="C73" s="1918"/>
      <c r="D73" s="97">
        <f t="shared" si="4"/>
        <v>0</v>
      </c>
      <c r="E73" s="97">
        <f t="shared" si="5"/>
        <v>23259</v>
      </c>
      <c r="F73" s="184">
        <v>0</v>
      </c>
      <c r="G73" s="184">
        <v>23259</v>
      </c>
      <c r="H73" s="1436" t="s">
        <v>280</v>
      </c>
      <c r="I73" s="1436" t="s">
        <v>280</v>
      </c>
      <c r="J73" s="184">
        <v>0</v>
      </c>
      <c r="K73" s="184">
        <v>0</v>
      </c>
      <c r="L73" s="184">
        <v>0</v>
      </c>
      <c r="M73" s="1490">
        <v>0</v>
      </c>
      <c r="N73" s="1512">
        <v>0</v>
      </c>
      <c r="O73" s="1486">
        <f>P73+Q73</f>
        <v>0</v>
      </c>
      <c r="P73" s="52">
        <v>0</v>
      </c>
      <c r="Q73" s="1734">
        <f>'Звіт Пацієнт '!P42</f>
        <v>0</v>
      </c>
      <c r="R73" s="1512">
        <v>0</v>
      </c>
      <c r="S73" s="55">
        <v>0</v>
      </c>
      <c r="T73" s="150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</row>
    <row r="74" spans="1:41" s="9" customFormat="1" ht="24" customHeight="1" thickBot="1" x14ac:dyDescent="0.35">
      <c r="A74" s="264" t="s">
        <v>287</v>
      </c>
      <c r="B74" s="2043" t="s">
        <v>29</v>
      </c>
      <c r="C74" s="2043"/>
      <c r="D74" s="1431">
        <f t="shared" si="4"/>
        <v>0</v>
      </c>
      <c r="E74" s="1431">
        <f t="shared" si="5"/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490">
        <v>0</v>
      </c>
      <c r="N74" s="1510">
        <v>0</v>
      </c>
      <c r="O74" s="1523">
        <f>P74+Q74</f>
        <v>0</v>
      </c>
      <c r="P74" s="56">
        <v>0</v>
      </c>
      <c r="Q74" s="1738">
        <f>'Звіт Пацієнт '!P43</f>
        <v>0</v>
      </c>
      <c r="R74" s="1510">
        <v>0</v>
      </c>
      <c r="S74" s="57">
        <v>0</v>
      </c>
      <c r="T74" s="152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</row>
    <row r="75" spans="1:41" s="9" customFormat="1" ht="23.65" customHeight="1" x14ac:dyDescent="0.3">
      <c r="A75" s="523" t="s">
        <v>288</v>
      </c>
      <c r="B75" s="2035" t="s">
        <v>152</v>
      </c>
      <c r="C75" s="2036"/>
      <c r="D75" s="1427">
        <f t="shared" si="4"/>
        <v>0</v>
      </c>
      <c r="E75" s="1427">
        <f t="shared" si="5"/>
        <v>413000</v>
      </c>
      <c r="F75" s="1441">
        <f>SUM(F76,F77,F78,F79,F80)</f>
        <v>0</v>
      </c>
      <c r="G75" s="1441">
        <f t="shared" ref="G75:S75" si="15">SUM(G76,G77,G78,G79,G80)</f>
        <v>413000</v>
      </c>
      <c r="H75" s="1441">
        <f>SUM(H76,H77,H78,H79,H80)</f>
        <v>0</v>
      </c>
      <c r="I75" s="1441">
        <f t="shared" si="15"/>
        <v>0</v>
      </c>
      <c r="J75" s="1441">
        <f t="shared" si="15"/>
        <v>0</v>
      </c>
      <c r="K75" s="1441">
        <f t="shared" si="15"/>
        <v>0</v>
      </c>
      <c r="L75" s="1441">
        <f>SUM(L76,L77,L78,L79,L80)</f>
        <v>0</v>
      </c>
      <c r="M75" s="1502">
        <f>SUM(M76,M77,M78,M79,M80)</f>
        <v>0</v>
      </c>
      <c r="N75" s="1621">
        <f t="shared" si="15"/>
        <v>0</v>
      </c>
      <c r="O75" s="1625">
        <f>SUM(O76,O77,O78,O79,O80)</f>
        <v>0</v>
      </c>
      <c r="P75" s="1522">
        <f>SUM(P76,P77,P78,P79,P80)</f>
        <v>0</v>
      </c>
      <c r="Q75" s="1739" t="s">
        <v>280</v>
      </c>
      <c r="R75" s="1621">
        <f t="shared" si="15"/>
        <v>0</v>
      </c>
      <c r="S75" s="1442">
        <f t="shared" si="15"/>
        <v>0</v>
      </c>
      <c r="T75" s="15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</row>
    <row r="76" spans="1:41" s="9" customFormat="1" ht="23.1" customHeight="1" x14ac:dyDescent="0.3">
      <c r="A76" s="523" t="s">
        <v>289</v>
      </c>
      <c r="B76" s="2027" t="s">
        <v>147</v>
      </c>
      <c r="C76" s="2025"/>
      <c r="D76" s="97">
        <f t="shared" si="4"/>
        <v>0</v>
      </c>
      <c r="E76" s="97">
        <f t="shared" si="5"/>
        <v>413000</v>
      </c>
      <c r="F76" s="184">
        <v>0</v>
      </c>
      <c r="G76" s="184">
        <f>472200-59200</f>
        <v>413000</v>
      </c>
      <c r="H76" s="1436" t="s">
        <v>280</v>
      </c>
      <c r="I76" s="1436" t="s">
        <v>280</v>
      </c>
      <c r="J76" s="1436" t="s">
        <v>280</v>
      </c>
      <c r="K76" s="1436" t="s">
        <v>280</v>
      </c>
      <c r="L76" s="1436" t="s">
        <v>280</v>
      </c>
      <c r="M76" s="1503" t="s">
        <v>280</v>
      </c>
      <c r="N76" s="1512">
        <v>0</v>
      </c>
      <c r="O76" s="1486">
        <f>P76</f>
        <v>0</v>
      </c>
      <c r="P76" s="52">
        <v>0</v>
      </c>
      <c r="Q76" s="1737" t="s">
        <v>280</v>
      </c>
      <c r="R76" s="1512">
        <v>0</v>
      </c>
      <c r="S76" s="55">
        <v>0</v>
      </c>
      <c r="T76" s="150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</row>
    <row r="77" spans="1:41" s="9" customFormat="1" ht="23.1" customHeight="1" x14ac:dyDescent="0.3">
      <c r="A77" s="523" t="s">
        <v>290</v>
      </c>
      <c r="B77" s="2027" t="s">
        <v>150</v>
      </c>
      <c r="C77" s="2025"/>
      <c r="D77" s="97">
        <f t="shared" si="4"/>
        <v>0</v>
      </c>
      <c r="E77" s="97">
        <f t="shared" si="5"/>
        <v>0</v>
      </c>
      <c r="F77" s="184">
        <v>0</v>
      </c>
      <c r="G77" s="184">
        <v>0</v>
      </c>
      <c r="H77" s="1436" t="s">
        <v>280</v>
      </c>
      <c r="I77" s="1436" t="s">
        <v>280</v>
      </c>
      <c r="J77" s="184">
        <v>0</v>
      </c>
      <c r="K77" s="184">
        <v>0</v>
      </c>
      <c r="L77" s="184">
        <v>0</v>
      </c>
      <c r="M77" s="1490">
        <v>0</v>
      </c>
      <c r="N77" s="1512">
        <v>0</v>
      </c>
      <c r="O77" s="1486">
        <f t="shared" ref="O77:O91" si="16">P77</f>
        <v>0</v>
      </c>
      <c r="P77" s="52">
        <v>0</v>
      </c>
      <c r="Q77" s="1737" t="s">
        <v>280</v>
      </c>
      <c r="R77" s="1512">
        <v>0</v>
      </c>
      <c r="S77" s="55">
        <v>0</v>
      </c>
      <c r="T77" s="150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</row>
    <row r="78" spans="1:41" s="9" customFormat="1" ht="23.1" customHeight="1" x14ac:dyDescent="0.3">
      <c r="A78" s="523" t="s">
        <v>291</v>
      </c>
      <c r="B78" s="2027" t="s">
        <v>209</v>
      </c>
      <c r="C78" s="2025"/>
      <c r="D78" s="97">
        <f t="shared" si="4"/>
        <v>0</v>
      </c>
      <c r="E78" s="97">
        <f t="shared" si="5"/>
        <v>0</v>
      </c>
      <c r="F78" s="184">
        <v>0</v>
      </c>
      <c r="G78" s="184">
        <v>0</v>
      </c>
      <c r="H78" s="1436" t="s">
        <v>280</v>
      </c>
      <c r="I78" s="1436" t="s">
        <v>280</v>
      </c>
      <c r="J78" s="184">
        <v>0</v>
      </c>
      <c r="K78" s="184">
        <v>0</v>
      </c>
      <c r="L78" s="184">
        <v>0</v>
      </c>
      <c r="M78" s="1490">
        <v>0</v>
      </c>
      <c r="N78" s="1512">
        <v>0</v>
      </c>
      <c r="O78" s="1486">
        <f t="shared" si="16"/>
        <v>0</v>
      </c>
      <c r="P78" s="52">
        <v>0</v>
      </c>
      <c r="Q78" s="1737" t="s">
        <v>280</v>
      </c>
      <c r="R78" s="1512">
        <v>0</v>
      </c>
      <c r="S78" s="55">
        <v>0</v>
      </c>
      <c r="T78" s="150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</row>
    <row r="79" spans="1:41" s="9" customFormat="1" ht="23.1" customHeight="1" x14ac:dyDescent="0.3">
      <c r="A79" s="523" t="s">
        <v>292</v>
      </c>
      <c r="B79" s="2031" t="s">
        <v>212</v>
      </c>
      <c r="C79" s="2032"/>
      <c r="D79" s="97">
        <f t="shared" si="4"/>
        <v>0</v>
      </c>
      <c r="E79" s="97">
        <f t="shared" si="5"/>
        <v>0</v>
      </c>
      <c r="F79" s="184">
        <v>0</v>
      </c>
      <c r="G79" s="184">
        <v>0</v>
      </c>
      <c r="H79" s="1436" t="s">
        <v>280</v>
      </c>
      <c r="I79" s="1436" t="s">
        <v>280</v>
      </c>
      <c r="J79" s="184">
        <v>0</v>
      </c>
      <c r="K79" s="184">
        <v>0</v>
      </c>
      <c r="L79" s="184">
        <v>0</v>
      </c>
      <c r="M79" s="1490">
        <v>0</v>
      </c>
      <c r="N79" s="1512">
        <v>0</v>
      </c>
      <c r="O79" s="1486">
        <f t="shared" si="16"/>
        <v>0</v>
      </c>
      <c r="P79" s="52">
        <v>0</v>
      </c>
      <c r="Q79" s="1737" t="s">
        <v>280</v>
      </c>
      <c r="R79" s="1512">
        <v>0</v>
      </c>
      <c r="S79" s="55">
        <v>0</v>
      </c>
      <c r="T79" s="150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</row>
    <row r="80" spans="1:41" s="9" customFormat="1" ht="23.1" customHeight="1" thickBot="1" x14ac:dyDescent="0.35">
      <c r="A80" s="523" t="s">
        <v>293</v>
      </c>
      <c r="B80" s="2029" t="s">
        <v>149</v>
      </c>
      <c r="C80" s="2030"/>
      <c r="D80" s="1425">
        <f t="shared" si="4"/>
        <v>0</v>
      </c>
      <c r="E80" s="1425">
        <f t="shared" si="5"/>
        <v>0</v>
      </c>
      <c r="F80" s="56">
        <v>0</v>
      </c>
      <c r="G80" s="56">
        <v>0</v>
      </c>
      <c r="H80" s="1443" t="s">
        <v>280</v>
      </c>
      <c r="I80" s="1443" t="s">
        <v>280</v>
      </c>
      <c r="J80" s="56">
        <v>0</v>
      </c>
      <c r="K80" s="56">
        <v>0</v>
      </c>
      <c r="L80" s="56">
        <v>0</v>
      </c>
      <c r="M80" s="1491">
        <v>0</v>
      </c>
      <c r="N80" s="1510">
        <v>0</v>
      </c>
      <c r="O80" s="1523">
        <f t="shared" si="16"/>
        <v>0</v>
      </c>
      <c r="P80" s="56">
        <v>0</v>
      </c>
      <c r="Q80" s="1740" t="s">
        <v>280</v>
      </c>
      <c r="R80" s="1510">
        <v>0</v>
      </c>
      <c r="S80" s="57">
        <v>0</v>
      </c>
      <c r="T80" s="150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</row>
    <row r="81" spans="1:41" s="9" customFormat="1" ht="23.1" customHeight="1" x14ac:dyDescent="0.3">
      <c r="A81" s="264" t="s">
        <v>294</v>
      </c>
      <c r="B81" s="2026" t="s">
        <v>30</v>
      </c>
      <c r="C81" s="2026"/>
      <c r="D81" s="1429">
        <f t="shared" si="4"/>
        <v>0</v>
      </c>
      <c r="E81" s="1429">
        <f t="shared" si="5"/>
        <v>1906</v>
      </c>
      <c r="F81" s="524">
        <v>0</v>
      </c>
      <c r="G81" s="524">
        <v>0</v>
      </c>
      <c r="H81" s="1437" t="s">
        <v>280</v>
      </c>
      <c r="I81" s="1437" t="s">
        <v>280</v>
      </c>
      <c r="J81" s="524">
        <v>0</v>
      </c>
      <c r="K81" s="524">
        <v>1906</v>
      </c>
      <c r="L81" s="524">
        <v>0</v>
      </c>
      <c r="M81" s="1504">
        <v>0</v>
      </c>
      <c r="N81" s="1519">
        <v>0</v>
      </c>
      <c r="O81" s="1516">
        <f t="shared" si="16"/>
        <v>0</v>
      </c>
      <c r="P81" s="1520">
        <v>0</v>
      </c>
      <c r="Q81" s="1741" t="s">
        <v>280</v>
      </c>
      <c r="R81" s="1519">
        <v>0</v>
      </c>
      <c r="S81" s="1521">
        <v>0</v>
      </c>
      <c r="T81" s="150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</row>
    <row r="82" spans="1:41" s="9" customFormat="1" ht="23.1" customHeight="1" x14ac:dyDescent="0.3">
      <c r="A82" s="264" t="s">
        <v>295</v>
      </c>
      <c r="B82" s="1988" t="s">
        <v>146</v>
      </c>
      <c r="C82" s="1988"/>
      <c r="D82" s="97">
        <f t="shared" si="4"/>
        <v>0</v>
      </c>
      <c r="E82" s="97">
        <f t="shared" si="5"/>
        <v>0</v>
      </c>
      <c r="F82" s="184">
        <v>0</v>
      </c>
      <c r="G82" s="184">
        <v>0</v>
      </c>
      <c r="H82" s="1436" t="s">
        <v>280</v>
      </c>
      <c r="I82" s="1436" t="s">
        <v>280</v>
      </c>
      <c r="J82" s="184">
        <v>0</v>
      </c>
      <c r="K82" s="184">
        <v>0</v>
      </c>
      <c r="L82" s="184">
        <v>0</v>
      </c>
      <c r="M82" s="1490">
        <v>0</v>
      </c>
      <c r="N82" s="1512">
        <v>0</v>
      </c>
      <c r="O82" s="1486">
        <f t="shared" si="16"/>
        <v>0</v>
      </c>
      <c r="P82" s="52">
        <v>0</v>
      </c>
      <c r="Q82" s="1737" t="s">
        <v>280</v>
      </c>
      <c r="R82" s="1512">
        <v>0</v>
      </c>
      <c r="S82" s="55">
        <v>0</v>
      </c>
      <c r="T82" s="150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</row>
    <row r="83" spans="1:41" s="9" customFormat="1" ht="23.1" customHeight="1" x14ac:dyDescent="0.3">
      <c r="A83" s="264" t="s">
        <v>296</v>
      </c>
      <c r="B83" s="1965" t="s">
        <v>53</v>
      </c>
      <c r="C83" s="1965"/>
      <c r="D83" s="97">
        <f t="shared" si="4"/>
        <v>0</v>
      </c>
      <c r="E83" s="97">
        <f t="shared" si="5"/>
        <v>72341</v>
      </c>
      <c r="F83" s="184">
        <v>0</v>
      </c>
      <c r="G83" s="184">
        <v>0</v>
      </c>
      <c r="H83" s="1436" t="s">
        <v>280</v>
      </c>
      <c r="I83" s="1436" t="s">
        <v>280</v>
      </c>
      <c r="J83" s="184">
        <v>0</v>
      </c>
      <c r="K83" s="184">
        <v>72341</v>
      </c>
      <c r="L83" s="184">
        <v>0</v>
      </c>
      <c r="M83" s="1490">
        <v>0</v>
      </c>
      <c r="N83" s="1512">
        <v>0</v>
      </c>
      <c r="O83" s="1486">
        <f t="shared" si="16"/>
        <v>0</v>
      </c>
      <c r="P83" s="52">
        <v>0</v>
      </c>
      <c r="Q83" s="1737" t="s">
        <v>280</v>
      </c>
      <c r="R83" s="1512">
        <v>0</v>
      </c>
      <c r="S83" s="55">
        <v>0</v>
      </c>
      <c r="T83" s="150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</row>
    <row r="84" spans="1:41" s="9" customFormat="1" ht="23.1" customHeight="1" x14ac:dyDescent="0.3">
      <c r="A84" s="264" t="s">
        <v>297</v>
      </c>
      <c r="B84" s="1965" t="s">
        <v>41</v>
      </c>
      <c r="C84" s="1965"/>
      <c r="D84" s="97">
        <f t="shared" si="4"/>
        <v>0</v>
      </c>
      <c r="E84" s="97">
        <f t="shared" si="5"/>
        <v>0</v>
      </c>
      <c r="F84" s="184">
        <v>0</v>
      </c>
      <c r="G84" s="184">
        <v>0</v>
      </c>
      <c r="H84" s="1436" t="s">
        <v>280</v>
      </c>
      <c r="I84" s="1436" t="s">
        <v>280</v>
      </c>
      <c r="J84" s="184">
        <v>0</v>
      </c>
      <c r="K84" s="184">
        <v>0</v>
      </c>
      <c r="L84" s="184">
        <v>0</v>
      </c>
      <c r="M84" s="1490">
        <v>0</v>
      </c>
      <c r="N84" s="1512">
        <v>0</v>
      </c>
      <c r="O84" s="1486">
        <f t="shared" si="16"/>
        <v>0</v>
      </c>
      <c r="P84" s="52">
        <v>0</v>
      </c>
      <c r="Q84" s="1737" t="s">
        <v>280</v>
      </c>
      <c r="R84" s="1512">
        <v>0</v>
      </c>
      <c r="S84" s="55">
        <v>0</v>
      </c>
      <c r="T84" s="150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</row>
    <row r="85" spans="1:41" s="9" customFormat="1" ht="23.1" customHeight="1" x14ac:dyDescent="0.3">
      <c r="A85" s="264" t="s">
        <v>298</v>
      </c>
      <c r="B85" s="1965" t="s">
        <v>145</v>
      </c>
      <c r="C85" s="1965"/>
      <c r="D85" s="97">
        <f t="shared" si="4"/>
        <v>0</v>
      </c>
      <c r="E85" s="97">
        <f t="shared" si="5"/>
        <v>0</v>
      </c>
      <c r="F85" s="184">
        <v>0</v>
      </c>
      <c r="G85" s="184">
        <v>0</v>
      </c>
      <c r="H85" s="1436" t="s">
        <v>280</v>
      </c>
      <c r="I85" s="1436" t="s">
        <v>280</v>
      </c>
      <c r="J85" s="184">
        <v>0</v>
      </c>
      <c r="K85" s="184">
        <v>0</v>
      </c>
      <c r="L85" s="184">
        <v>0</v>
      </c>
      <c r="M85" s="1490">
        <v>0</v>
      </c>
      <c r="N85" s="1512">
        <v>0</v>
      </c>
      <c r="O85" s="1486">
        <f t="shared" si="16"/>
        <v>0</v>
      </c>
      <c r="P85" s="52">
        <v>0</v>
      </c>
      <c r="Q85" s="1737" t="s">
        <v>280</v>
      </c>
      <c r="R85" s="1512">
        <v>0</v>
      </c>
      <c r="S85" s="55">
        <v>0</v>
      </c>
      <c r="T85" s="150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</row>
    <row r="86" spans="1:41" s="9" customFormat="1" ht="23.1" customHeight="1" x14ac:dyDescent="0.3">
      <c r="A86" s="264" t="s">
        <v>299</v>
      </c>
      <c r="B86" s="1965" t="s">
        <v>151</v>
      </c>
      <c r="C86" s="1965"/>
      <c r="D86" s="97">
        <f t="shared" si="4"/>
        <v>0</v>
      </c>
      <c r="E86" s="97">
        <f t="shared" si="5"/>
        <v>0</v>
      </c>
      <c r="F86" s="184">
        <v>0</v>
      </c>
      <c r="G86" s="184">
        <v>0</v>
      </c>
      <c r="H86" s="1436" t="s">
        <v>280</v>
      </c>
      <c r="I86" s="1436" t="s">
        <v>280</v>
      </c>
      <c r="J86" s="184">
        <v>0</v>
      </c>
      <c r="K86" s="184">
        <v>0</v>
      </c>
      <c r="L86" s="184">
        <v>0</v>
      </c>
      <c r="M86" s="1490">
        <v>0</v>
      </c>
      <c r="N86" s="1512">
        <v>0</v>
      </c>
      <c r="O86" s="1486">
        <f t="shared" si="16"/>
        <v>0</v>
      </c>
      <c r="P86" s="52">
        <v>0</v>
      </c>
      <c r="Q86" s="1737" t="s">
        <v>280</v>
      </c>
      <c r="R86" s="1512">
        <v>0</v>
      </c>
      <c r="S86" s="55">
        <v>0</v>
      </c>
      <c r="T86" s="150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</row>
    <row r="87" spans="1:41" s="9" customFormat="1" ht="23.1" customHeight="1" x14ac:dyDescent="0.3">
      <c r="A87" s="264" t="s">
        <v>300</v>
      </c>
      <c r="B87" s="1988" t="s">
        <v>31</v>
      </c>
      <c r="C87" s="1988"/>
      <c r="D87" s="97">
        <f t="shared" si="4"/>
        <v>0</v>
      </c>
      <c r="E87" s="97">
        <f t="shared" si="5"/>
        <v>233735</v>
      </c>
      <c r="F87" s="184">
        <v>0</v>
      </c>
      <c r="G87" s="184">
        <v>202492</v>
      </c>
      <c r="H87" s="184">
        <v>0</v>
      </c>
      <c r="I87" s="184">
        <v>0</v>
      </c>
      <c r="J87" s="184">
        <v>0</v>
      </c>
      <c r="K87" s="184">
        <v>31243</v>
      </c>
      <c r="L87" s="184">
        <v>0</v>
      </c>
      <c r="M87" s="1490">
        <v>0</v>
      </c>
      <c r="N87" s="1512">
        <v>0</v>
      </c>
      <c r="O87" s="1486">
        <f t="shared" si="16"/>
        <v>0</v>
      </c>
      <c r="P87" s="52">
        <v>0</v>
      </c>
      <c r="Q87" s="1737" t="s">
        <v>280</v>
      </c>
      <c r="R87" s="1512">
        <v>0</v>
      </c>
      <c r="S87" s="55">
        <v>0</v>
      </c>
      <c r="T87" s="150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</row>
    <row r="88" spans="1:41" s="9" customFormat="1" ht="23.1" customHeight="1" x14ac:dyDescent="0.3">
      <c r="A88" s="264" t="s">
        <v>301</v>
      </c>
      <c r="B88" s="2033" t="s">
        <v>43</v>
      </c>
      <c r="C88" s="2033"/>
      <c r="D88" s="1421">
        <f t="shared" si="4"/>
        <v>0</v>
      </c>
      <c r="E88" s="1421">
        <f t="shared" si="5"/>
        <v>59147</v>
      </c>
      <c r="F88" s="1436" t="s">
        <v>280</v>
      </c>
      <c r="G88" s="1436" t="s">
        <v>280</v>
      </c>
      <c r="H88" s="1436" t="s">
        <v>280</v>
      </c>
      <c r="I88" s="1436" t="s">
        <v>280</v>
      </c>
      <c r="J88" s="184">
        <v>0</v>
      </c>
      <c r="K88" s="184">
        <v>59147</v>
      </c>
      <c r="L88" s="184">
        <v>0</v>
      </c>
      <c r="M88" s="1490">
        <v>0</v>
      </c>
      <c r="N88" s="1512">
        <v>0</v>
      </c>
      <c r="O88" s="1486">
        <f t="shared" si="16"/>
        <v>0</v>
      </c>
      <c r="P88" s="52">
        <v>0</v>
      </c>
      <c r="Q88" s="1737" t="s">
        <v>280</v>
      </c>
      <c r="R88" s="1512">
        <v>0</v>
      </c>
      <c r="S88" s="55">
        <v>0</v>
      </c>
      <c r="T88" s="150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</row>
    <row r="89" spans="1:41" s="9" customFormat="1" ht="23.1" customHeight="1" x14ac:dyDescent="0.3">
      <c r="A89" s="264" t="s">
        <v>302</v>
      </c>
      <c r="B89" s="2033" t="s">
        <v>44</v>
      </c>
      <c r="C89" s="2033"/>
      <c r="D89" s="1421">
        <f t="shared" si="4"/>
        <v>0</v>
      </c>
      <c r="E89" s="1421">
        <f t="shared" si="5"/>
        <v>1689</v>
      </c>
      <c r="F89" s="1436" t="s">
        <v>280</v>
      </c>
      <c r="G89" s="1436" t="s">
        <v>280</v>
      </c>
      <c r="H89" s="1436" t="s">
        <v>280</v>
      </c>
      <c r="I89" s="1436" t="s">
        <v>280</v>
      </c>
      <c r="J89" s="184">
        <v>0</v>
      </c>
      <c r="K89" s="184">
        <v>1689</v>
      </c>
      <c r="L89" s="184">
        <v>0</v>
      </c>
      <c r="M89" s="1490">
        <v>0</v>
      </c>
      <c r="N89" s="1512">
        <v>0</v>
      </c>
      <c r="O89" s="1486">
        <f t="shared" si="16"/>
        <v>0</v>
      </c>
      <c r="P89" s="52">
        <v>0</v>
      </c>
      <c r="Q89" s="1737" t="s">
        <v>280</v>
      </c>
      <c r="R89" s="1512">
        <v>0</v>
      </c>
      <c r="S89" s="55">
        <v>0</v>
      </c>
      <c r="T89" s="150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</row>
    <row r="90" spans="1:41" s="9" customFormat="1" ht="27.75" customHeight="1" x14ac:dyDescent="0.3">
      <c r="A90" s="427" t="s">
        <v>303</v>
      </c>
      <c r="B90" s="2044" t="s">
        <v>950</v>
      </c>
      <c r="C90" s="2045"/>
      <c r="D90" s="97">
        <f>SUM(F90,J90,N90,R90,L90)</f>
        <v>0</v>
      </c>
      <c r="E90" s="97">
        <f>SUM(G90,K90,O90,S90,M90)</f>
        <v>0</v>
      </c>
      <c r="F90" s="184">
        <v>0</v>
      </c>
      <c r="G90" s="184">
        <v>0</v>
      </c>
      <c r="H90" s="1436" t="s">
        <v>280</v>
      </c>
      <c r="I90" s="1436" t="s">
        <v>280</v>
      </c>
      <c r="J90" s="1436" t="s">
        <v>280</v>
      </c>
      <c r="K90" s="1436" t="s">
        <v>280</v>
      </c>
      <c r="L90" s="1436" t="s">
        <v>280</v>
      </c>
      <c r="M90" s="1503" t="s">
        <v>280</v>
      </c>
      <c r="N90" s="1512">
        <v>0</v>
      </c>
      <c r="O90" s="1486">
        <f t="shared" si="16"/>
        <v>0</v>
      </c>
      <c r="P90" s="52">
        <v>0</v>
      </c>
      <c r="Q90" s="1737" t="s">
        <v>280</v>
      </c>
      <c r="R90" s="1512">
        <v>0</v>
      </c>
      <c r="S90" s="55">
        <v>0</v>
      </c>
      <c r="T90" s="150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</row>
    <row r="91" spans="1:41" s="29" customFormat="1" ht="23.1" customHeight="1" thickBot="1" x14ac:dyDescent="0.35">
      <c r="A91" s="427" t="s">
        <v>930</v>
      </c>
      <c r="B91" s="2034" t="s">
        <v>45</v>
      </c>
      <c r="C91" s="2034"/>
      <c r="D91" s="1425">
        <f t="shared" si="4"/>
        <v>0</v>
      </c>
      <c r="E91" s="1425">
        <f t="shared" si="5"/>
        <v>1844943</v>
      </c>
      <c r="F91" s="56">
        <v>0</v>
      </c>
      <c r="G91" s="56">
        <v>0</v>
      </c>
      <c r="H91" s="56">
        <v>0</v>
      </c>
      <c r="I91" s="186">
        <v>0</v>
      </c>
      <c r="J91" s="56">
        <v>0</v>
      </c>
      <c r="K91" s="56">
        <v>1844943</v>
      </c>
      <c r="L91" s="56">
        <v>0</v>
      </c>
      <c r="M91" s="1491">
        <v>0</v>
      </c>
      <c r="N91" s="1509">
        <v>0</v>
      </c>
      <c r="O91" s="1489">
        <f t="shared" si="16"/>
        <v>0</v>
      </c>
      <c r="P91" s="184">
        <v>0</v>
      </c>
      <c r="Q91" s="1742" t="s">
        <v>280</v>
      </c>
      <c r="R91" s="1509">
        <v>0</v>
      </c>
      <c r="S91" s="278">
        <v>0</v>
      </c>
      <c r="T91" s="150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</row>
    <row r="92" spans="1:41" s="9" customFormat="1" ht="23.1" customHeight="1" x14ac:dyDescent="0.3">
      <c r="A92" s="277" t="s">
        <v>931</v>
      </c>
      <c r="B92" s="2046" t="s">
        <v>35</v>
      </c>
      <c r="C92" s="2046"/>
      <c r="D92" s="1427">
        <f t="shared" si="4"/>
        <v>0</v>
      </c>
      <c r="E92" s="1427">
        <f t="shared" si="5"/>
        <v>407609</v>
      </c>
      <c r="F92" s="1427">
        <f>SUM(F93:F95)</f>
        <v>0</v>
      </c>
      <c r="G92" s="1427">
        <f t="shared" ref="G92:S92" si="17">SUM(G93:G95)</f>
        <v>59987</v>
      </c>
      <c r="H92" s="1427">
        <f t="shared" si="17"/>
        <v>0</v>
      </c>
      <c r="I92" s="1427">
        <f t="shared" si="17"/>
        <v>0</v>
      </c>
      <c r="J92" s="1427">
        <f t="shared" si="17"/>
        <v>0</v>
      </c>
      <c r="K92" s="1427">
        <f t="shared" si="17"/>
        <v>0</v>
      </c>
      <c r="L92" s="1427">
        <f>SUM(L93:L95)</f>
        <v>0</v>
      </c>
      <c r="M92" s="1440">
        <f>SUM(M93:M95)</f>
        <v>0</v>
      </c>
      <c r="N92" s="1511">
        <f t="shared" si="17"/>
        <v>0</v>
      </c>
      <c r="O92" s="1427">
        <f t="shared" si="17"/>
        <v>347622</v>
      </c>
      <c r="P92" s="1427">
        <f>SUM(P93:P95)</f>
        <v>347622</v>
      </c>
      <c r="Q92" s="1739" t="s">
        <v>280</v>
      </c>
      <c r="R92" s="1511">
        <f t="shared" si="17"/>
        <v>0</v>
      </c>
      <c r="S92" s="1444">
        <f t="shared" si="17"/>
        <v>0</v>
      </c>
      <c r="T92" s="154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</row>
    <row r="93" spans="1:41" s="9" customFormat="1" ht="23.1" customHeight="1" x14ac:dyDescent="0.3">
      <c r="A93" s="187" t="s">
        <v>932</v>
      </c>
      <c r="B93" s="1988" t="s">
        <v>183</v>
      </c>
      <c r="C93" s="1988"/>
      <c r="D93" s="97">
        <f t="shared" si="4"/>
        <v>0</v>
      </c>
      <c r="E93" s="97">
        <f t="shared" si="5"/>
        <v>141343</v>
      </c>
      <c r="F93" s="184">
        <v>0</v>
      </c>
      <c r="G93" s="1512">
        <v>1825</v>
      </c>
      <c r="H93" s="184">
        <v>0</v>
      </c>
      <c r="I93" s="184">
        <v>0</v>
      </c>
      <c r="J93" s="184">
        <v>0</v>
      </c>
      <c r="K93" s="184">
        <v>0</v>
      </c>
      <c r="L93" s="184">
        <v>0</v>
      </c>
      <c r="M93" s="1490">
        <v>0</v>
      </c>
      <c r="N93" s="1512"/>
      <c r="O93" s="1486">
        <f>P93</f>
        <v>139518</v>
      </c>
      <c r="P93" s="1512">
        <v>139518</v>
      </c>
      <c r="Q93" s="1737" t="s">
        <v>280</v>
      </c>
      <c r="R93" s="1512">
        <v>0</v>
      </c>
      <c r="S93" s="55">
        <v>0</v>
      </c>
      <c r="T93" s="151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</row>
    <row r="94" spans="1:41" s="9" customFormat="1" ht="37.35" customHeight="1" x14ac:dyDescent="0.3">
      <c r="A94" s="187" t="s">
        <v>933</v>
      </c>
      <c r="B94" s="1988" t="s">
        <v>184</v>
      </c>
      <c r="C94" s="1988"/>
      <c r="D94" s="97">
        <f t="shared" si="4"/>
        <v>0</v>
      </c>
      <c r="E94" s="97">
        <f t="shared" si="5"/>
        <v>266266</v>
      </c>
      <c r="F94" s="184">
        <v>0</v>
      </c>
      <c r="G94" s="1512">
        <f>13983+44179</f>
        <v>58162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490">
        <v>0</v>
      </c>
      <c r="N94" s="1512"/>
      <c r="O94" s="1486">
        <f>P94</f>
        <v>208104</v>
      </c>
      <c r="P94" s="1512">
        <v>208104</v>
      </c>
      <c r="Q94" s="1737" t="s">
        <v>280</v>
      </c>
      <c r="R94" s="1512">
        <v>0</v>
      </c>
      <c r="S94" s="55">
        <v>0</v>
      </c>
      <c r="T94" s="151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</row>
    <row r="95" spans="1:41" s="9" customFormat="1" ht="23.1" customHeight="1" thickBot="1" x14ac:dyDescent="0.35">
      <c r="A95" s="188" t="s">
        <v>934</v>
      </c>
      <c r="B95" s="2002" t="s">
        <v>185</v>
      </c>
      <c r="C95" s="2002"/>
      <c r="D95" s="1425">
        <f t="shared" si="4"/>
        <v>0</v>
      </c>
      <c r="E95" s="1425">
        <f t="shared" si="5"/>
        <v>0</v>
      </c>
      <c r="F95" s="56">
        <v>0</v>
      </c>
      <c r="G95" s="56">
        <v>0</v>
      </c>
      <c r="H95" s="1443" t="s">
        <v>280</v>
      </c>
      <c r="I95" s="1443" t="s">
        <v>280</v>
      </c>
      <c r="J95" s="56">
        <v>0</v>
      </c>
      <c r="K95" s="56">
        <v>0</v>
      </c>
      <c r="L95" s="56">
        <v>0</v>
      </c>
      <c r="M95" s="1491">
        <v>0</v>
      </c>
      <c r="N95" s="1510">
        <v>0</v>
      </c>
      <c r="O95" s="1523">
        <f>P95</f>
        <v>0</v>
      </c>
      <c r="P95" s="56">
        <v>0</v>
      </c>
      <c r="Q95" s="1740" t="s">
        <v>280</v>
      </c>
      <c r="R95" s="1510">
        <v>0</v>
      </c>
      <c r="S95" s="57">
        <v>0</v>
      </c>
      <c r="T95" s="151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</row>
    <row r="96" spans="1:41" s="9" customFormat="1" ht="23.1" customHeight="1" thickBot="1" x14ac:dyDescent="0.35">
      <c r="A96" s="189" t="s">
        <v>175</v>
      </c>
      <c r="B96" s="2040" t="s">
        <v>54</v>
      </c>
      <c r="C96" s="2040"/>
      <c r="D96" s="190">
        <v>0</v>
      </c>
      <c r="E96" s="1624">
        <v>0</v>
      </c>
      <c r="F96" s="1622" t="s">
        <v>280</v>
      </c>
      <c r="G96" s="1622" t="s">
        <v>280</v>
      </c>
      <c r="H96" s="1622" t="s">
        <v>280</v>
      </c>
      <c r="I96" s="1622" t="s">
        <v>280</v>
      </c>
      <c r="J96" s="1622" t="s">
        <v>280</v>
      </c>
      <c r="K96" s="1622" t="s">
        <v>280</v>
      </c>
      <c r="L96" s="1622" t="s">
        <v>280</v>
      </c>
      <c r="M96" s="1622" t="s">
        <v>280</v>
      </c>
      <c r="N96" s="1622" t="s">
        <v>280</v>
      </c>
      <c r="O96" s="1622" t="s">
        <v>280</v>
      </c>
      <c r="P96" s="1622" t="s">
        <v>280</v>
      </c>
      <c r="Q96" s="1622" t="s">
        <v>280</v>
      </c>
      <c r="R96" s="1622" t="s">
        <v>280</v>
      </c>
      <c r="S96" s="1622" t="s">
        <v>280</v>
      </c>
      <c r="T96" s="151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</row>
    <row r="97" spans="1:41" s="9" customFormat="1" ht="23.1" customHeight="1" x14ac:dyDescent="0.3">
      <c r="A97" s="433" t="s">
        <v>1098</v>
      </c>
      <c r="B97" s="432"/>
      <c r="C97" s="432"/>
      <c r="D97" s="153"/>
      <c r="E97" s="153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</row>
    <row r="98" spans="1:41" ht="24.6" customHeight="1" thickBot="1" x14ac:dyDescent="0.3">
      <c r="A98" s="2041" t="s">
        <v>442</v>
      </c>
      <c r="B98" s="2041"/>
      <c r="C98" s="2041"/>
      <c r="D98" s="2041"/>
      <c r="E98" s="24"/>
      <c r="F98" s="24"/>
      <c r="G98" s="24"/>
      <c r="H98" s="24"/>
      <c r="K98" s="81"/>
      <c r="L98" s="81"/>
      <c r="M98" s="81"/>
      <c r="N98" s="81"/>
      <c r="O98" s="100"/>
      <c r="P98" s="100"/>
      <c r="Q98" s="100"/>
      <c r="R98" s="100"/>
      <c r="S98" s="79"/>
      <c r="T98" s="77"/>
    </row>
    <row r="99" spans="1:41" ht="43.35" customHeight="1" x14ac:dyDescent="0.25">
      <c r="A99" s="261" t="s">
        <v>37</v>
      </c>
      <c r="B99" s="2042" t="s">
        <v>259</v>
      </c>
      <c r="C99" s="2042"/>
      <c r="D99" s="2042"/>
      <c r="E99" s="262" t="s">
        <v>86</v>
      </c>
      <c r="F99" s="53" t="s">
        <v>281</v>
      </c>
      <c r="G99" s="262" t="s">
        <v>8</v>
      </c>
      <c r="H99" s="54" t="s">
        <v>281</v>
      </c>
      <c r="I99" s="155"/>
      <c r="J99" s="156"/>
      <c r="K99" s="77"/>
      <c r="L99" s="77"/>
      <c r="M99" s="77"/>
    </row>
    <row r="100" spans="1:41" ht="16.899999999999999" customHeight="1" x14ac:dyDescent="0.25">
      <c r="A100" s="209" t="s">
        <v>9</v>
      </c>
      <c r="B100" s="2047">
        <v>2</v>
      </c>
      <c r="C100" s="2048"/>
      <c r="D100" s="2049"/>
      <c r="E100" s="260">
        <v>3</v>
      </c>
      <c r="F100" s="210">
        <v>4</v>
      </c>
      <c r="G100" s="260">
        <v>5</v>
      </c>
      <c r="H100" s="211">
        <v>6</v>
      </c>
      <c r="I100" s="155"/>
      <c r="J100" s="156"/>
      <c r="K100" s="77"/>
      <c r="L100" s="77"/>
      <c r="M100" s="77"/>
    </row>
    <row r="101" spans="1:41" ht="23.65" customHeight="1" x14ac:dyDescent="0.3">
      <c r="A101" s="27" t="s">
        <v>305</v>
      </c>
      <c r="B101" s="1988" t="s">
        <v>208</v>
      </c>
      <c r="C101" s="1988"/>
      <c r="D101" s="1988"/>
      <c r="E101" s="97">
        <f>E102+E103+E104+E106+E107+E105</f>
        <v>0</v>
      </c>
      <c r="F101" s="97" t="e">
        <f t="shared" ref="F101:F107" si="18">E101/$E$101</f>
        <v>#DIV/0!</v>
      </c>
      <c r="G101" s="97">
        <f>G102+G103+G104+G106+G107+G105</f>
        <v>62636932</v>
      </c>
      <c r="H101" s="97">
        <f t="shared" ref="H101:H107" si="19">G101/$G$101</f>
        <v>1</v>
      </c>
      <c r="I101" s="157"/>
      <c r="J101" s="158"/>
      <c r="K101" s="77"/>
      <c r="L101" s="77"/>
      <c r="M101" s="77"/>
    </row>
    <row r="102" spans="1:41" ht="23.65" customHeight="1" x14ac:dyDescent="0.3">
      <c r="A102" s="27" t="s">
        <v>306</v>
      </c>
      <c r="B102" s="1988" t="s">
        <v>179</v>
      </c>
      <c r="C102" s="1988"/>
      <c r="D102" s="1988"/>
      <c r="E102" s="97">
        <f>D46</f>
        <v>0</v>
      </c>
      <c r="F102" s="97" t="e">
        <f t="shared" si="18"/>
        <v>#DIV/0!</v>
      </c>
      <c r="G102" s="97">
        <f>E46</f>
        <v>18801735</v>
      </c>
      <c r="H102" s="97">
        <f t="shared" si="19"/>
        <v>0.3</v>
      </c>
      <c r="I102" s="157"/>
      <c r="J102" s="158"/>
      <c r="K102" s="77"/>
      <c r="L102" s="77"/>
      <c r="M102" s="77"/>
    </row>
    <row r="103" spans="1:41" ht="23.65" customHeight="1" x14ac:dyDescent="0.3">
      <c r="A103" s="27" t="s">
        <v>307</v>
      </c>
      <c r="B103" s="1988" t="s">
        <v>180</v>
      </c>
      <c r="C103" s="1988"/>
      <c r="D103" s="1988"/>
      <c r="E103" s="97">
        <f>D43</f>
        <v>0</v>
      </c>
      <c r="F103" s="97" t="e">
        <f t="shared" si="18"/>
        <v>#DIV/0!</v>
      </c>
      <c r="G103" s="97">
        <f>E43</f>
        <v>33352261</v>
      </c>
      <c r="H103" s="97">
        <f t="shared" si="19"/>
        <v>0.53</v>
      </c>
      <c r="I103" s="157"/>
      <c r="J103" s="158"/>
      <c r="K103" s="77"/>
      <c r="L103" s="77"/>
      <c r="M103" s="77"/>
    </row>
    <row r="104" spans="1:41" ht="23.65" customHeight="1" x14ac:dyDescent="0.3">
      <c r="A104" s="27" t="s">
        <v>308</v>
      </c>
      <c r="B104" s="1988" t="s">
        <v>181</v>
      </c>
      <c r="C104" s="1988"/>
      <c r="D104" s="1988"/>
      <c r="E104" s="97">
        <f>D44</f>
        <v>0</v>
      </c>
      <c r="F104" s="97" t="e">
        <f t="shared" si="18"/>
        <v>#DIV/0!</v>
      </c>
      <c r="G104" s="97">
        <f>E44</f>
        <v>7420323</v>
      </c>
      <c r="H104" s="97">
        <f t="shared" si="19"/>
        <v>0.12</v>
      </c>
      <c r="I104" s="157"/>
      <c r="J104" s="158"/>
      <c r="K104" s="77"/>
      <c r="L104" s="77"/>
      <c r="M104" s="77"/>
    </row>
    <row r="105" spans="1:41" ht="23.65" customHeight="1" x14ac:dyDescent="0.3">
      <c r="A105" s="27" t="s">
        <v>309</v>
      </c>
      <c r="B105" s="1989" t="str">
        <f>B45</f>
        <v>Соціальне забезпечення (у тому пільгові пенсії)</v>
      </c>
      <c r="C105" s="2051"/>
      <c r="D105" s="2052"/>
      <c r="E105" s="97">
        <f>D45</f>
        <v>0</v>
      </c>
      <c r="F105" s="97" t="e">
        <f t="shared" si="18"/>
        <v>#DIV/0!</v>
      </c>
      <c r="G105" s="97">
        <f>E45</f>
        <v>0</v>
      </c>
      <c r="H105" s="97">
        <f t="shared" si="19"/>
        <v>0</v>
      </c>
      <c r="I105" s="41"/>
      <c r="J105" s="159"/>
      <c r="K105" s="77"/>
      <c r="L105" s="77"/>
      <c r="M105" s="77"/>
    </row>
    <row r="106" spans="1:41" ht="23.65" customHeight="1" x14ac:dyDescent="0.3">
      <c r="A106" s="27" t="s">
        <v>310</v>
      </c>
      <c r="B106" s="1988" t="s">
        <v>182</v>
      </c>
      <c r="C106" s="1988"/>
      <c r="D106" s="1988"/>
      <c r="E106" s="97">
        <f>D92</f>
        <v>0</v>
      </c>
      <c r="F106" s="97" t="e">
        <f t="shared" si="18"/>
        <v>#DIV/0!</v>
      </c>
      <c r="G106" s="97">
        <f>E92</f>
        <v>407609</v>
      </c>
      <c r="H106" s="97">
        <f t="shared" si="19"/>
        <v>0.01</v>
      </c>
      <c r="I106" s="41"/>
      <c r="J106" s="159"/>
      <c r="K106" s="77"/>
      <c r="L106" s="77"/>
      <c r="M106" s="77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23.65" customHeight="1" x14ac:dyDescent="0.3">
      <c r="A107" s="27" t="s">
        <v>311</v>
      </c>
      <c r="B107" s="1988" t="s">
        <v>186</v>
      </c>
      <c r="C107" s="1988"/>
      <c r="D107" s="1988"/>
      <c r="E107" s="97">
        <f>D70</f>
        <v>0</v>
      </c>
      <c r="F107" s="97" t="e">
        <f t="shared" si="18"/>
        <v>#DIV/0!</v>
      </c>
      <c r="G107" s="97">
        <f>E70</f>
        <v>2655004</v>
      </c>
      <c r="H107" s="97">
        <f t="shared" si="19"/>
        <v>0.04</v>
      </c>
      <c r="I107" s="157"/>
      <c r="J107" s="158"/>
      <c r="K107" s="77"/>
      <c r="L107" s="77"/>
      <c r="M107" s="77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76" customFormat="1" x14ac:dyDescent="0.25">
      <c r="A108" s="2050"/>
      <c r="B108" s="2050"/>
      <c r="C108" s="2050"/>
      <c r="D108" s="2050"/>
      <c r="E108" s="2050"/>
      <c r="F108" s="2050"/>
      <c r="G108" s="2050"/>
      <c r="H108" s="2050"/>
      <c r="I108" s="2050"/>
      <c r="J108" s="2050"/>
      <c r="K108" s="2050"/>
      <c r="L108" s="2050"/>
      <c r="M108" s="2050"/>
      <c r="N108" s="2050"/>
      <c r="O108" s="2050"/>
      <c r="P108" s="2050"/>
      <c r="Q108" s="2050"/>
      <c r="R108" s="2050"/>
      <c r="S108" s="2050"/>
      <c r="T108" s="2050"/>
    </row>
    <row r="109" spans="1:41" s="76" customFormat="1" x14ac:dyDescent="0.25">
      <c r="A109" s="2050"/>
      <c r="B109" s="2050"/>
      <c r="C109" s="2050"/>
      <c r="D109" s="2050"/>
      <c r="E109" s="2050"/>
      <c r="F109" s="2050"/>
      <c r="G109" s="2050"/>
      <c r="H109" s="2050"/>
      <c r="I109" s="2050"/>
      <c r="J109" s="2050"/>
      <c r="K109" s="2050"/>
      <c r="L109" s="2050"/>
      <c r="M109" s="2050"/>
      <c r="N109" s="2050"/>
      <c r="O109" s="2050"/>
      <c r="P109" s="2050"/>
      <c r="Q109" s="2050"/>
      <c r="R109" s="2050"/>
      <c r="S109" s="2050"/>
      <c r="T109" s="2050"/>
    </row>
    <row r="110" spans="1:41" s="76" customFormat="1" x14ac:dyDescent="0.25">
      <c r="A110" s="2050"/>
      <c r="B110" s="2050"/>
      <c r="C110" s="2050"/>
      <c r="D110" s="2050"/>
      <c r="E110" s="2050"/>
      <c r="F110" s="2050"/>
      <c r="G110" s="2050"/>
      <c r="H110" s="2050"/>
      <c r="I110" s="2050"/>
      <c r="J110" s="2050"/>
      <c r="K110" s="2050"/>
      <c r="L110" s="2050"/>
      <c r="M110" s="2050"/>
      <c r="N110" s="2050"/>
      <c r="O110" s="2050"/>
      <c r="P110" s="2050"/>
      <c r="Q110" s="2050"/>
      <c r="R110" s="2050"/>
      <c r="S110" s="2050"/>
      <c r="T110" s="2050"/>
    </row>
    <row r="111" spans="1:41" s="76" customFormat="1" x14ac:dyDescent="0.25">
      <c r="A111" s="2050"/>
      <c r="B111" s="2050"/>
      <c r="C111" s="2050"/>
      <c r="D111" s="2050"/>
      <c r="E111" s="2050"/>
      <c r="F111" s="2050"/>
      <c r="G111" s="2050"/>
      <c r="H111" s="2050"/>
      <c r="I111" s="2050"/>
      <c r="J111" s="2050"/>
      <c r="K111" s="2050"/>
      <c r="L111" s="2050"/>
      <c r="M111" s="2050"/>
      <c r="N111" s="2050"/>
      <c r="O111" s="2050"/>
      <c r="P111" s="2050"/>
      <c r="Q111" s="2050"/>
      <c r="R111" s="2050"/>
      <c r="S111" s="2050"/>
      <c r="T111" s="2050"/>
    </row>
    <row r="112" spans="1:41" s="76" customFormat="1" x14ac:dyDescent="0.25">
      <c r="A112" s="2050"/>
      <c r="B112" s="2050"/>
      <c r="C112" s="2050"/>
      <c r="D112" s="2050"/>
      <c r="E112" s="2050"/>
      <c r="F112" s="2050"/>
      <c r="G112" s="2050"/>
      <c r="H112" s="2050"/>
      <c r="I112" s="2050"/>
      <c r="J112" s="2050"/>
      <c r="K112" s="2050"/>
      <c r="L112" s="2050"/>
      <c r="M112" s="2050"/>
      <c r="N112" s="2050"/>
      <c r="O112" s="2050"/>
      <c r="P112" s="2050"/>
      <c r="Q112" s="2050"/>
      <c r="R112" s="2050"/>
      <c r="S112" s="2050"/>
      <c r="T112" s="2050"/>
    </row>
    <row r="113" spans="1:20" s="76" customFormat="1" x14ac:dyDescent="0.25">
      <c r="A113" s="2050"/>
      <c r="B113" s="2050"/>
      <c r="C113" s="2050"/>
      <c r="D113" s="2050"/>
      <c r="E113" s="2050"/>
      <c r="F113" s="2050"/>
      <c r="G113" s="2050"/>
      <c r="H113" s="2050"/>
      <c r="I113" s="2050"/>
      <c r="J113" s="2050"/>
      <c r="K113" s="2050"/>
      <c r="L113" s="2050"/>
      <c r="M113" s="2050"/>
      <c r="N113" s="2050"/>
      <c r="O113" s="2050"/>
      <c r="P113" s="2050"/>
      <c r="Q113" s="2050"/>
      <c r="R113" s="2050"/>
      <c r="S113" s="2050"/>
      <c r="T113" s="2050"/>
    </row>
    <row r="114" spans="1:20" s="76" customFormat="1" x14ac:dyDescent="0.25">
      <c r="A114" s="2050"/>
      <c r="B114" s="2050"/>
      <c r="C114" s="2050"/>
      <c r="D114" s="2050"/>
      <c r="E114" s="2050"/>
      <c r="F114" s="2050"/>
      <c r="G114" s="2050"/>
      <c r="H114" s="2050"/>
      <c r="I114" s="2050"/>
      <c r="J114" s="2050"/>
      <c r="K114" s="2050"/>
      <c r="L114" s="2050"/>
      <c r="M114" s="2050"/>
      <c r="N114" s="2050"/>
      <c r="O114" s="2050"/>
      <c r="P114" s="2050"/>
      <c r="Q114" s="2050"/>
      <c r="R114" s="2050"/>
      <c r="S114" s="2050"/>
      <c r="T114" s="2050"/>
    </row>
    <row r="115" spans="1:20" s="76" customFormat="1" x14ac:dyDescent="0.25">
      <c r="A115" s="2050"/>
      <c r="B115" s="2050"/>
      <c r="C115" s="2050"/>
      <c r="D115" s="2050"/>
      <c r="E115" s="2050"/>
      <c r="F115" s="2050"/>
      <c r="G115" s="2050"/>
      <c r="H115" s="2050"/>
      <c r="I115" s="2050"/>
      <c r="J115" s="2050"/>
      <c r="K115" s="2050"/>
      <c r="L115" s="2050"/>
      <c r="M115" s="2050"/>
      <c r="N115" s="2050"/>
      <c r="O115" s="2050"/>
      <c r="P115" s="2050"/>
      <c r="Q115" s="2050"/>
      <c r="R115" s="2050"/>
      <c r="S115" s="2050"/>
      <c r="T115" s="2050"/>
    </row>
    <row r="116" spans="1:20" s="76" customFormat="1" x14ac:dyDescent="0.25">
      <c r="A116" s="2050"/>
      <c r="B116" s="2050"/>
      <c r="C116" s="2050"/>
      <c r="D116" s="2050"/>
      <c r="E116" s="2050"/>
      <c r="F116" s="2050"/>
      <c r="G116" s="2050"/>
      <c r="H116" s="2050"/>
      <c r="I116" s="2050"/>
      <c r="J116" s="2050"/>
      <c r="K116" s="2050"/>
      <c r="L116" s="2050"/>
      <c r="M116" s="2050"/>
      <c r="N116" s="2050"/>
      <c r="O116" s="2050"/>
      <c r="P116" s="2050"/>
      <c r="Q116" s="2050"/>
      <c r="R116" s="2050"/>
      <c r="S116" s="2050"/>
      <c r="T116" s="2050"/>
    </row>
    <row r="117" spans="1:20" s="76" customFormat="1" x14ac:dyDescent="0.25">
      <c r="A117" s="2050"/>
      <c r="B117" s="2050"/>
      <c r="C117" s="2050"/>
      <c r="D117" s="2050"/>
      <c r="E117" s="2050"/>
      <c r="F117" s="2050"/>
      <c r="G117" s="2050"/>
      <c r="H117" s="2050"/>
      <c r="I117" s="2050"/>
      <c r="J117" s="2050"/>
      <c r="K117" s="2050"/>
      <c r="L117" s="2050"/>
      <c r="M117" s="2050"/>
      <c r="N117" s="2050"/>
      <c r="O117" s="2050"/>
      <c r="P117" s="2050"/>
      <c r="Q117" s="2050"/>
      <c r="R117" s="2050"/>
      <c r="S117" s="2050"/>
      <c r="T117" s="2050"/>
    </row>
    <row r="118" spans="1:20" s="76" customFormat="1" x14ac:dyDescent="0.25">
      <c r="A118" s="2050"/>
      <c r="B118" s="2050"/>
      <c r="C118" s="2050"/>
      <c r="D118" s="2050"/>
      <c r="E118" s="2050"/>
      <c r="F118" s="2050"/>
      <c r="G118" s="2050"/>
      <c r="H118" s="2050"/>
      <c r="I118" s="2050"/>
      <c r="J118" s="2050"/>
      <c r="K118" s="2050"/>
      <c r="L118" s="2050"/>
      <c r="M118" s="2050"/>
      <c r="N118" s="2050"/>
      <c r="O118" s="2050"/>
      <c r="P118" s="2050"/>
      <c r="Q118" s="2050"/>
      <c r="R118" s="2050"/>
      <c r="S118" s="2050"/>
      <c r="T118" s="2050"/>
    </row>
    <row r="119" spans="1:20" s="76" customFormat="1" x14ac:dyDescent="0.25">
      <c r="A119" s="2050"/>
      <c r="B119" s="2050"/>
      <c r="C119" s="2050"/>
      <c r="D119" s="2050"/>
      <c r="E119" s="2050"/>
      <c r="F119" s="2050"/>
      <c r="G119" s="2050"/>
      <c r="H119" s="2050"/>
      <c r="I119" s="2050"/>
      <c r="J119" s="2050"/>
      <c r="K119" s="2050"/>
      <c r="L119" s="2050"/>
      <c r="M119" s="2050"/>
      <c r="N119" s="2050"/>
      <c r="O119" s="2050"/>
      <c r="P119" s="2050"/>
      <c r="Q119" s="2050"/>
      <c r="R119" s="2050"/>
      <c r="S119" s="2050"/>
      <c r="T119" s="2050"/>
    </row>
    <row r="120" spans="1:20" s="76" customFormat="1" x14ac:dyDescent="0.25">
      <c r="A120" s="2050"/>
      <c r="B120" s="2050"/>
      <c r="C120" s="2050"/>
      <c r="D120" s="2050"/>
      <c r="E120" s="2050"/>
      <c r="F120" s="2050"/>
      <c r="G120" s="2050"/>
      <c r="H120" s="2050"/>
      <c r="I120" s="2050"/>
      <c r="J120" s="2050"/>
      <c r="K120" s="2050"/>
      <c r="L120" s="2050"/>
      <c r="M120" s="2050"/>
      <c r="N120" s="2050"/>
      <c r="O120" s="2050"/>
      <c r="P120" s="2050"/>
      <c r="Q120" s="2050"/>
      <c r="R120" s="2050"/>
      <c r="S120" s="2050"/>
      <c r="T120" s="2050"/>
    </row>
    <row r="121" spans="1:20" s="76" customFormat="1" x14ac:dyDescent="0.25">
      <c r="A121" s="2050"/>
      <c r="B121" s="2050"/>
      <c r="C121" s="2050"/>
      <c r="D121" s="2050"/>
      <c r="E121" s="2050"/>
      <c r="F121" s="2050"/>
      <c r="G121" s="2050"/>
      <c r="H121" s="2050"/>
      <c r="I121" s="2050"/>
      <c r="J121" s="2050"/>
      <c r="K121" s="2050"/>
      <c r="L121" s="2050"/>
      <c r="M121" s="2050"/>
      <c r="N121" s="2050"/>
      <c r="O121" s="2050"/>
      <c r="P121" s="2050"/>
      <c r="Q121" s="2050"/>
      <c r="R121" s="2050"/>
      <c r="S121" s="2050"/>
      <c r="T121" s="2050"/>
    </row>
    <row r="122" spans="1:20" s="76" customFormat="1" x14ac:dyDescent="0.25">
      <c r="A122" s="2050"/>
      <c r="B122" s="2050"/>
      <c r="C122" s="2050"/>
      <c r="D122" s="2050"/>
      <c r="E122" s="2050"/>
      <c r="F122" s="2050"/>
      <c r="G122" s="2050"/>
      <c r="H122" s="2050"/>
      <c r="I122" s="2050"/>
      <c r="J122" s="2050"/>
      <c r="K122" s="2050"/>
      <c r="L122" s="2050"/>
      <c r="M122" s="2050"/>
      <c r="N122" s="2050"/>
      <c r="O122" s="2050"/>
      <c r="P122" s="2050"/>
      <c r="Q122" s="2050"/>
      <c r="R122" s="2050"/>
      <c r="S122" s="2050"/>
      <c r="T122" s="2050"/>
    </row>
    <row r="123" spans="1:20" s="76" customFormat="1" x14ac:dyDescent="0.25">
      <c r="A123" s="2050"/>
      <c r="B123" s="2050"/>
      <c r="C123" s="2050"/>
      <c r="D123" s="2050"/>
      <c r="E123" s="2050"/>
      <c r="F123" s="2050"/>
      <c r="G123" s="2050"/>
      <c r="H123" s="2050"/>
      <c r="I123" s="2050"/>
      <c r="J123" s="2050"/>
      <c r="K123" s="2050"/>
      <c r="L123" s="2050"/>
      <c r="M123" s="2050"/>
      <c r="N123" s="2050"/>
      <c r="O123" s="2050"/>
      <c r="P123" s="2050"/>
      <c r="Q123" s="2050"/>
      <c r="R123" s="2050"/>
      <c r="S123" s="2050"/>
      <c r="T123" s="2050"/>
    </row>
    <row r="124" spans="1:20" s="76" customFormat="1" x14ac:dyDescent="0.25">
      <c r="A124" s="2050"/>
      <c r="B124" s="2050"/>
      <c r="C124" s="2050"/>
      <c r="D124" s="2050"/>
      <c r="E124" s="2050"/>
      <c r="F124" s="2050"/>
      <c r="G124" s="2050"/>
      <c r="H124" s="2050"/>
      <c r="I124" s="2050"/>
      <c r="J124" s="2050"/>
      <c r="K124" s="2050"/>
      <c r="L124" s="2050"/>
      <c r="M124" s="2050"/>
      <c r="N124" s="2050"/>
      <c r="O124" s="2050"/>
      <c r="P124" s="2050"/>
      <c r="Q124" s="2050"/>
      <c r="R124" s="2050"/>
      <c r="S124" s="2050"/>
      <c r="T124" s="2050"/>
    </row>
    <row r="125" spans="1:20" s="76" customFormat="1" x14ac:dyDescent="0.25">
      <c r="A125" s="2050"/>
      <c r="B125" s="2050"/>
      <c r="C125" s="2050"/>
      <c r="D125" s="2050"/>
      <c r="E125" s="2050"/>
      <c r="F125" s="2050"/>
      <c r="G125" s="2050"/>
      <c r="H125" s="2050"/>
      <c r="I125" s="2050"/>
      <c r="J125" s="2050"/>
      <c r="K125" s="2050"/>
      <c r="L125" s="2050"/>
      <c r="M125" s="2050"/>
      <c r="N125" s="2050"/>
      <c r="O125" s="2050"/>
      <c r="P125" s="2050"/>
      <c r="Q125" s="2050"/>
      <c r="R125" s="2050"/>
      <c r="S125" s="2050"/>
      <c r="T125" s="2050"/>
    </row>
    <row r="126" spans="1:20" s="76" customFormat="1" x14ac:dyDescent="0.25">
      <c r="A126" s="2050"/>
      <c r="B126" s="2050"/>
      <c r="C126" s="2050"/>
      <c r="D126" s="2050"/>
      <c r="E126" s="2050"/>
      <c r="F126" s="2050"/>
      <c r="G126" s="2050"/>
      <c r="H126" s="2050"/>
      <c r="I126" s="2050"/>
      <c r="J126" s="2050"/>
      <c r="K126" s="2050"/>
      <c r="L126" s="2050"/>
      <c r="M126" s="2050"/>
      <c r="N126" s="2050"/>
      <c r="O126" s="2050"/>
      <c r="P126" s="2050"/>
      <c r="Q126" s="2050"/>
      <c r="R126" s="2050"/>
      <c r="S126" s="2050"/>
      <c r="T126" s="2050"/>
    </row>
    <row r="127" spans="1:20" s="76" customFormat="1" x14ac:dyDescent="0.25">
      <c r="A127" s="2050"/>
      <c r="B127" s="2050"/>
      <c r="C127" s="2050"/>
      <c r="D127" s="2050"/>
      <c r="E127" s="2050"/>
      <c r="F127" s="2050"/>
      <c r="G127" s="2050"/>
      <c r="H127" s="2050"/>
      <c r="I127" s="2050"/>
      <c r="J127" s="2050"/>
      <c r="K127" s="2050"/>
      <c r="L127" s="2050"/>
      <c r="M127" s="2050"/>
      <c r="N127" s="2050"/>
      <c r="O127" s="2050"/>
      <c r="P127" s="2050"/>
      <c r="Q127" s="2050"/>
      <c r="R127" s="2050"/>
      <c r="S127" s="2050"/>
      <c r="T127" s="2050"/>
    </row>
    <row r="128" spans="1:20" s="76" customFormat="1" x14ac:dyDescent="0.25">
      <c r="A128" s="2050"/>
      <c r="B128" s="2050"/>
      <c r="C128" s="2050"/>
      <c r="D128" s="2050"/>
      <c r="E128" s="2050"/>
      <c r="F128" s="2050"/>
      <c r="G128" s="2050"/>
      <c r="H128" s="2050"/>
      <c r="I128" s="2050"/>
      <c r="J128" s="2050"/>
      <c r="K128" s="2050"/>
      <c r="L128" s="2050"/>
      <c r="M128" s="2050"/>
      <c r="N128" s="2050"/>
      <c r="O128" s="2050"/>
      <c r="P128" s="2050"/>
      <c r="Q128" s="2050"/>
      <c r="R128" s="2050"/>
      <c r="S128" s="2050"/>
      <c r="T128" s="2050"/>
    </row>
    <row r="129" spans="1:20" s="76" customFormat="1" x14ac:dyDescent="0.25">
      <c r="A129" s="2050"/>
      <c r="B129" s="2050"/>
      <c r="C129" s="2050"/>
      <c r="D129" s="2050"/>
      <c r="E129" s="2050"/>
      <c r="F129" s="2050"/>
      <c r="G129" s="2050"/>
      <c r="H129" s="2050"/>
      <c r="I129" s="2050"/>
      <c r="J129" s="2050"/>
      <c r="K129" s="2050"/>
      <c r="L129" s="2050"/>
      <c r="M129" s="2050"/>
      <c r="N129" s="2050"/>
      <c r="O129" s="2050"/>
      <c r="P129" s="2050"/>
      <c r="Q129" s="2050"/>
      <c r="R129" s="2050"/>
      <c r="S129" s="2050"/>
      <c r="T129" s="2050"/>
    </row>
    <row r="130" spans="1:20" s="76" customFormat="1" x14ac:dyDescent="0.25">
      <c r="A130" s="2050"/>
      <c r="B130" s="2050"/>
      <c r="C130" s="2050"/>
      <c r="D130" s="2050"/>
      <c r="E130" s="2050"/>
      <c r="F130" s="2050"/>
      <c r="G130" s="2050"/>
      <c r="H130" s="2050"/>
      <c r="I130" s="2050"/>
      <c r="J130" s="2050"/>
      <c r="K130" s="2050"/>
      <c r="L130" s="2050"/>
      <c r="M130" s="2050"/>
      <c r="N130" s="2050"/>
      <c r="O130" s="2050"/>
      <c r="P130" s="2050"/>
      <c r="Q130" s="2050"/>
      <c r="R130" s="2050"/>
      <c r="S130" s="2050"/>
      <c r="T130" s="2050"/>
    </row>
    <row r="131" spans="1:20" s="76" customFormat="1" x14ac:dyDescent="0.25">
      <c r="A131" s="2050"/>
      <c r="B131" s="2050"/>
      <c r="C131" s="2050"/>
      <c r="D131" s="2050"/>
      <c r="E131" s="2050"/>
      <c r="F131" s="2050"/>
      <c r="G131" s="2050"/>
      <c r="H131" s="2050"/>
      <c r="I131" s="2050"/>
      <c r="J131" s="2050"/>
      <c r="K131" s="2050"/>
      <c r="L131" s="2050"/>
      <c r="M131" s="2050"/>
      <c r="N131" s="2050"/>
      <c r="O131" s="2050"/>
      <c r="P131" s="2050"/>
      <c r="Q131" s="2050"/>
      <c r="R131" s="2050"/>
      <c r="S131" s="2050"/>
      <c r="T131" s="2050"/>
    </row>
    <row r="132" spans="1:20" s="76" customFormat="1" x14ac:dyDescent="0.25">
      <c r="A132" s="2050"/>
      <c r="B132" s="2050"/>
      <c r="C132" s="2050"/>
      <c r="D132" s="2050"/>
      <c r="E132" s="2050"/>
      <c r="F132" s="2050"/>
      <c r="G132" s="2050"/>
      <c r="H132" s="2050"/>
      <c r="I132" s="2050"/>
      <c r="J132" s="2050"/>
      <c r="K132" s="2050"/>
      <c r="L132" s="2050"/>
      <c r="M132" s="2050"/>
      <c r="N132" s="2050"/>
      <c r="O132" s="2050"/>
      <c r="P132" s="2050"/>
      <c r="Q132" s="2050"/>
      <c r="R132" s="2050"/>
      <c r="S132" s="2050"/>
      <c r="T132" s="2050"/>
    </row>
    <row r="133" spans="1:20" s="76" customFormat="1" x14ac:dyDescent="0.25">
      <c r="A133" s="101"/>
      <c r="B133" s="103"/>
      <c r="D133" s="80"/>
      <c r="E133" s="80"/>
      <c r="F133" s="80"/>
      <c r="G133" s="80"/>
      <c r="H133" s="81"/>
      <c r="I133" s="81"/>
      <c r="J133" s="81"/>
      <c r="K133" s="81"/>
      <c r="L133" s="81"/>
      <c r="M133" s="81"/>
      <c r="N133" s="81"/>
      <c r="O133" s="100"/>
      <c r="P133" s="100"/>
      <c r="Q133" s="100"/>
      <c r="R133" s="100"/>
      <c r="S133" s="79"/>
      <c r="T133" s="77"/>
    </row>
    <row r="134" spans="1:20" s="76" customFormat="1" x14ac:dyDescent="0.25">
      <c r="A134" s="101"/>
      <c r="B134" s="103"/>
      <c r="D134" s="80"/>
      <c r="E134" s="80"/>
      <c r="F134" s="80"/>
      <c r="G134" s="80"/>
      <c r="H134" s="81"/>
      <c r="I134" s="81"/>
      <c r="J134" s="81"/>
      <c r="K134" s="81"/>
      <c r="L134" s="81"/>
      <c r="M134" s="81"/>
      <c r="N134" s="81"/>
      <c r="O134" s="100"/>
      <c r="P134" s="100"/>
      <c r="Q134" s="100"/>
      <c r="R134" s="100"/>
      <c r="S134" s="79"/>
      <c r="T134" s="77"/>
    </row>
    <row r="135" spans="1:20" s="76" customFormat="1" x14ac:dyDescent="0.25">
      <c r="A135" s="101"/>
      <c r="B135" s="103"/>
      <c r="D135" s="80"/>
      <c r="E135" s="80"/>
      <c r="F135" s="80"/>
      <c r="G135" s="80"/>
      <c r="H135" s="81"/>
      <c r="I135" s="81"/>
      <c r="J135" s="81"/>
      <c r="K135" s="81"/>
      <c r="L135" s="81"/>
      <c r="M135" s="81"/>
      <c r="N135" s="81"/>
      <c r="O135" s="100"/>
      <c r="P135" s="100"/>
      <c r="Q135" s="100"/>
      <c r="R135" s="100"/>
      <c r="S135" s="79"/>
      <c r="T135" s="77"/>
    </row>
    <row r="136" spans="1:20" s="76" customFormat="1" x14ac:dyDescent="0.25">
      <c r="A136" s="101"/>
      <c r="B136" s="103"/>
      <c r="D136" s="80"/>
      <c r="E136" s="80"/>
      <c r="F136" s="80"/>
      <c r="G136" s="80"/>
      <c r="H136" s="81"/>
      <c r="I136" s="81"/>
      <c r="J136" s="81"/>
      <c r="K136" s="81"/>
      <c r="L136" s="81"/>
      <c r="M136" s="81"/>
      <c r="N136" s="81"/>
      <c r="O136" s="100"/>
      <c r="P136" s="100"/>
      <c r="Q136" s="100"/>
      <c r="R136" s="100"/>
      <c r="S136" s="79"/>
      <c r="T136" s="77"/>
    </row>
    <row r="137" spans="1:20" s="76" customFormat="1" x14ac:dyDescent="0.25">
      <c r="A137" s="101"/>
      <c r="B137" s="103"/>
      <c r="D137" s="80"/>
      <c r="E137" s="80"/>
      <c r="F137" s="80"/>
      <c r="G137" s="80"/>
      <c r="H137" s="81"/>
      <c r="I137" s="81"/>
      <c r="J137" s="81"/>
      <c r="K137" s="81"/>
      <c r="L137" s="81"/>
      <c r="M137" s="81"/>
      <c r="N137" s="81"/>
      <c r="O137" s="100"/>
      <c r="P137" s="100"/>
      <c r="Q137" s="100"/>
      <c r="R137" s="100"/>
      <c r="S137" s="79"/>
      <c r="T137" s="77"/>
    </row>
    <row r="138" spans="1:20" s="76" customFormat="1" x14ac:dyDescent="0.25">
      <c r="A138" s="101"/>
      <c r="B138" s="103"/>
      <c r="D138" s="80"/>
      <c r="E138" s="80"/>
      <c r="F138" s="80"/>
      <c r="G138" s="80"/>
      <c r="H138" s="81"/>
      <c r="I138" s="81"/>
      <c r="J138" s="81"/>
      <c r="K138" s="81"/>
      <c r="L138" s="81"/>
      <c r="M138" s="81"/>
      <c r="N138" s="81"/>
      <c r="O138" s="100"/>
      <c r="P138" s="100"/>
      <c r="Q138" s="100"/>
      <c r="R138" s="100"/>
      <c r="S138" s="79"/>
      <c r="T138" s="77"/>
    </row>
    <row r="139" spans="1:20" s="76" customFormat="1" x14ac:dyDescent="0.25">
      <c r="A139" s="101"/>
      <c r="B139" s="103"/>
      <c r="D139" s="80"/>
      <c r="E139" s="80"/>
      <c r="F139" s="80"/>
      <c r="G139" s="80"/>
      <c r="H139" s="81"/>
      <c r="I139" s="81"/>
      <c r="J139" s="81"/>
      <c r="K139" s="81"/>
      <c r="L139" s="81"/>
      <c r="M139" s="81"/>
      <c r="N139" s="81"/>
      <c r="O139" s="100"/>
      <c r="P139" s="100"/>
      <c r="Q139" s="100"/>
      <c r="R139" s="100"/>
      <c r="S139" s="79"/>
      <c r="T139" s="77"/>
    </row>
    <row r="140" spans="1:20" s="76" customFormat="1" x14ac:dyDescent="0.25">
      <c r="A140" s="101"/>
      <c r="B140" s="103"/>
      <c r="D140" s="80"/>
      <c r="E140" s="80"/>
      <c r="F140" s="80"/>
      <c r="G140" s="80"/>
      <c r="H140" s="81"/>
      <c r="I140" s="81"/>
      <c r="J140" s="81"/>
      <c r="K140" s="81"/>
      <c r="L140" s="81"/>
      <c r="M140" s="81"/>
      <c r="N140" s="81"/>
      <c r="O140" s="100"/>
      <c r="P140" s="100"/>
      <c r="Q140" s="100"/>
      <c r="R140" s="100"/>
      <c r="S140" s="79"/>
      <c r="T140" s="77"/>
    </row>
    <row r="141" spans="1:20" s="76" customFormat="1" x14ac:dyDescent="0.25">
      <c r="A141" s="101"/>
      <c r="B141" s="103"/>
      <c r="D141" s="80"/>
      <c r="E141" s="80"/>
      <c r="F141" s="80"/>
      <c r="G141" s="80"/>
      <c r="H141" s="81"/>
      <c r="I141" s="81"/>
      <c r="J141" s="81"/>
      <c r="K141" s="81"/>
      <c r="L141" s="81"/>
      <c r="M141" s="81"/>
      <c r="N141" s="81"/>
      <c r="O141" s="100"/>
      <c r="P141" s="100"/>
      <c r="Q141" s="100"/>
      <c r="R141" s="100"/>
      <c r="S141" s="79"/>
      <c r="T141" s="77"/>
    </row>
    <row r="142" spans="1:20" s="76" customFormat="1" x14ac:dyDescent="0.25">
      <c r="A142" s="101"/>
      <c r="B142" s="103"/>
      <c r="D142" s="80"/>
      <c r="E142" s="80"/>
      <c r="F142" s="80"/>
      <c r="G142" s="80"/>
      <c r="H142" s="81"/>
      <c r="I142" s="81"/>
      <c r="J142" s="81"/>
      <c r="K142" s="81"/>
      <c r="L142" s="81"/>
      <c r="M142" s="81"/>
      <c r="N142" s="81"/>
      <c r="O142" s="100"/>
      <c r="P142" s="100"/>
      <c r="Q142" s="100"/>
      <c r="R142" s="100"/>
      <c r="S142" s="79"/>
      <c r="T142" s="77"/>
    </row>
    <row r="143" spans="1:20" s="76" customFormat="1" x14ac:dyDescent="0.25">
      <c r="A143" s="101"/>
      <c r="B143" s="103"/>
      <c r="D143" s="80"/>
      <c r="E143" s="80"/>
      <c r="F143" s="80"/>
      <c r="G143" s="80"/>
      <c r="H143" s="81"/>
      <c r="I143" s="81"/>
      <c r="J143" s="81"/>
      <c r="K143" s="81"/>
      <c r="L143" s="81"/>
      <c r="M143" s="81"/>
      <c r="N143" s="81"/>
      <c r="O143" s="100"/>
      <c r="P143" s="100"/>
      <c r="Q143" s="100"/>
      <c r="R143" s="100"/>
      <c r="S143" s="79"/>
      <c r="T143" s="77"/>
    </row>
    <row r="144" spans="1:20" s="76" customFormat="1" x14ac:dyDescent="0.25">
      <c r="A144" s="101"/>
      <c r="B144" s="103"/>
      <c r="D144" s="80"/>
      <c r="E144" s="80"/>
      <c r="F144" s="80"/>
      <c r="G144" s="80"/>
      <c r="H144" s="81"/>
      <c r="I144" s="81"/>
      <c r="J144" s="81"/>
      <c r="K144" s="81"/>
      <c r="L144" s="81"/>
      <c r="M144" s="81"/>
      <c r="N144" s="81"/>
      <c r="O144" s="100"/>
      <c r="P144" s="100"/>
      <c r="Q144" s="100"/>
      <c r="R144" s="100"/>
      <c r="S144" s="79"/>
      <c r="T144" s="77"/>
    </row>
    <row r="145" spans="1:20" s="76" customFormat="1" x14ac:dyDescent="0.25">
      <c r="A145" s="101"/>
      <c r="B145" s="103"/>
      <c r="D145" s="80"/>
      <c r="E145" s="80"/>
      <c r="F145" s="80"/>
      <c r="G145" s="80"/>
      <c r="H145" s="81"/>
      <c r="I145" s="81"/>
      <c r="J145" s="81"/>
      <c r="K145" s="81"/>
      <c r="L145" s="81"/>
      <c r="M145" s="81"/>
      <c r="N145" s="81"/>
      <c r="O145" s="100"/>
      <c r="P145" s="100"/>
      <c r="Q145" s="100"/>
      <c r="R145" s="100"/>
      <c r="S145" s="79"/>
      <c r="T145" s="77"/>
    </row>
    <row r="146" spans="1:20" s="76" customFormat="1" x14ac:dyDescent="0.25">
      <c r="A146" s="101"/>
      <c r="B146" s="103"/>
      <c r="D146" s="80"/>
      <c r="E146" s="80"/>
      <c r="F146" s="80"/>
      <c r="G146" s="80"/>
      <c r="H146" s="81"/>
      <c r="I146" s="81"/>
      <c r="J146" s="81"/>
      <c r="K146" s="81"/>
      <c r="L146" s="81"/>
      <c r="M146" s="81"/>
      <c r="N146" s="81"/>
      <c r="O146" s="100"/>
      <c r="P146" s="100"/>
      <c r="Q146" s="100"/>
      <c r="R146" s="100"/>
      <c r="S146" s="79"/>
      <c r="T146" s="77"/>
    </row>
    <row r="147" spans="1:20" s="76" customFormat="1" x14ac:dyDescent="0.25">
      <c r="A147" s="101"/>
      <c r="B147" s="103"/>
      <c r="D147" s="80"/>
      <c r="E147" s="80"/>
      <c r="F147" s="80"/>
      <c r="G147" s="80"/>
      <c r="H147" s="81"/>
      <c r="I147" s="81"/>
      <c r="J147" s="81"/>
      <c r="K147" s="81"/>
      <c r="L147" s="81"/>
      <c r="M147" s="81"/>
      <c r="N147" s="81"/>
      <c r="O147" s="100"/>
      <c r="P147" s="100"/>
      <c r="Q147" s="100"/>
      <c r="R147" s="100"/>
      <c r="S147" s="79"/>
      <c r="T147" s="77"/>
    </row>
    <row r="148" spans="1:20" s="76" customFormat="1" x14ac:dyDescent="0.25">
      <c r="A148" s="101"/>
      <c r="B148" s="103"/>
      <c r="D148" s="80"/>
      <c r="E148" s="80"/>
      <c r="F148" s="80"/>
      <c r="G148" s="80"/>
      <c r="H148" s="81"/>
      <c r="I148" s="81"/>
      <c r="J148" s="81"/>
      <c r="K148" s="81"/>
      <c r="L148" s="81"/>
      <c r="M148" s="81"/>
      <c r="N148" s="81"/>
      <c r="O148" s="100"/>
      <c r="P148" s="100"/>
      <c r="Q148" s="100"/>
      <c r="R148" s="100"/>
      <c r="S148" s="79"/>
      <c r="T148" s="77"/>
    </row>
    <row r="149" spans="1:20" s="76" customFormat="1" x14ac:dyDescent="0.25">
      <c r="A149" s="101"/>
      <c r="B149" s="103"/>
      <c r="D149" s="80"/>
      <c r="E149" s="80"/>
      <c r="F149" s="80"/>
      <c r="G149" s="80"/>
      <c r="H149" s="81"/>
      <c r="I149" s="81"/>
      <c r="J149" s="81"/>
      <c r="K149" s="81"/>
      <c r="L149" s="81"/>
      <c r="M149" s="81"/>
      <c r="N149" s="81"/>
      <c r="O149" s="100"/>
      <c r="P149" s="100"/>
      <c r="Q149" s="100"/>
      <c r="R149" s="100"/>
      <c r="S149" s="79"/>
      <c r="T149" s="77"/>
    </row>
    <row r="150" spans="1:20" s="76" customFormat="1" x14ac:dyDescent="0.25">
      <c r="A150" s="101"/>
      <c r="B150" s="103"/>
      <c r="D150" s="80"/>
      <c r="E150" s="80"/>
      <c r="F150" s="80"/>
      <c r="G150" s="80"/>
      <c r="H150" s="81"/>
      <c r="I150" s="81"/>
      <c r="J150" s="81"/>
      <c r="K150" s="81"/>
      <c r="L150" s="81"/>
      <c r="M150" s="81"/>
      <c r="N150" s="81"/>
      <c r="O150" s="100"/>
      <c r="P150" s="100"/>
      <c r="Q150" s="100"/>
      <c r="R150" s="100"/>
      <c r="S150" s="79"/>
      <c r="T150" s="77"/>
    </row>
    <row r="151" spans="1:20" s="76" customFormat="1" x14ac:dyDescent="0.25">
      <c r="A151" s="101"/>
      <c r="B151" s="103"/>
      <c r="D151" s="80"/>
      <c r="E151" s="80"/>
      <c r="F151" s="80"/>
      <c r="G151" s="80"/>
      <c r="H151" s="81"/>
      <c r="I151" s="81"/>
      <c r="J151" s="81"/>
      <c r="K151" s="81"/>
      <c r="L151" s="81"/>
      <c r="M151" s="81"/>
      <c r="N151" s="81"/>
      <c r="O151" s="100"/>
      <c r="P151" s="100"/>
      <c r="Q151" s="100"/>
      <c r="R151" s="100"/>
      <c r="S151" s="79"/>
      <c r="T151" s="77"/>
    </row>
    <row r="152" spans="1:20" s="76" customFormat="1" x14ac:dyDescent="0.25">
      <c r="A152" s="101"/>
      <c r="B152" s="103"/>
      <c r="D152" s="80"/>
      <c r="E152" s="80"/>
      <c r="F152" s="80"/>
      <c r="G152" s="80"/>
      <c r="H152" s="81"/>
      <c r="I152" s="81"/>
      <c r="J152" s="81"/>
      <c r="K152" s="81"/>
      <c r="L152" s="81"/>
      <c r="M152" s="81"/>
      <c r="N152" s="81"/>
      <c r="O152" s="100"/>
      <c r="P152" s="100"/>
      <c r="Q152" s="100"/>
      <c r="R152" s="100"/>
      <c r="S152" s="79"/>
      <c r="T152" s="77"/>
    </row>
    <row r="153" spans="1:20" s="76" customFormat="1" x14ac:dyDescent="0.25">
      <c r="A153" s="101"/>
      <c r="B153" s="103"/>
      <c r="D153" s="80"/>
      <c r="E153" s="80"/>
      <c r="F153" s="80"/>
      <c r="G153" s="80"/>
      <c r="H153" s="81"/>
      <c r="I153" s="81"/>
      <c r="J153" s="81"/>
      <c r="K153" s="81"/>
      <c r="L153" s="81"/>
      <c r="M153" s="81"/>
      <c r="N153" s="81"/>
      <c r="O153" s="100"/>
      <c r="P153" s="100"/>
      <c r="Q153" s="100"/>
      <c r="R153" s="100"/>
      <c r="S153" s="79"/>
      <c r="T153" s="77"/>
    </row>
    <row r="154" spans="1:20" s="76" customFormat="1" x14ac:dyDescent="0.25">
      <c r="A154" s="101"/>
      <c r="B154" s="103"/>
      <c r="D154" s="80"/>
      <c r="E154" s="80"/>
      <c r="F154" s="80"/>
      <c r="G154" s="80"/>
      <c r="H154" s="81"/>
      <c r="I154" s="81"/>
      <c r="J154" s="81"/>
      <c r="K154" s="81"/>
      <c r="L154" s="81"/>
      <c r="M154" s="81"/>
      <c r="N154" s="81"/>
      <c r="O154" s="100"/>
      <c r="P154" s="100"/>
      <c r="Q154" s="100"/>
      <c r="R154" s="100"/>
      <c r="S154" s="79"/>
      <c r="T154" s="77"/>
    </row>
    <row r="155" spans="1:20" s="76" customFormat="1" x14ac:dyDescent="0.25">
      <c r="A155" s="101"/>
      <c r="B155" s="103"/>
      <c r="D155" s="80"/>
      <c r="E155" s="80"/>
      <c r="F155" s="80"/>
      <c r="G155" s="80"/>
      <c r="H155" s="81"/>
      <c r="I155" s="81"/>
      <c r="J155" s="81"/>
      <c r="K155" s="81"/>
      <c r="L155" s="81"/>
      <c r="M155" s="81"/>
      <c r="N155" s="81"/>
      <c r="O155" s="100"/>
      <c r="P155" s="100"/>
      <c r="Q155" s="100"/>
      <c r="R155" s="100"/>
      <c r="S155" s="79"/>
      <c r="T155" s="77"/>
    </row>
    <row r="156" spans="1:20" s="76" customFormat="1" x14ac:dyDescent="0.25">
      <c r="A156" s="101"/>
      <c r="B156" s="103"/>
      <c r="D156" s="80"/>
      <c r="E156" s="80"/>
      <c r="F156" s="80"/>
      <c r="G156" s="80"/>
      <c r="H156" s="81"/>
      <c r="I156" s="81"/>
      <c r="J156" s="81"/>
      <c r="K156" s="81"/>
      <c r="L156" s="81"/>
      <c r="M156" s="81"/>
      <c r="N156" s="81"/>
      <c r="O156" s="100"/>
      <c r="P156" s="100"/>
      <c r="Q156" s="100"/>
      <c r="R156" s="100"/>
      <c r="S156" s="79"/>
      <c r="T156" s="77"/>
    </row>
    <row r="157" spans="1:20" s="76" customFormat="1" x14ac:dyDescent="0.25">
      <c r="A157" s="101"/>
      <c r="B157" s="103"/>
      <c r="D157" s="80"/>
      <c r="E157" s="80"/>
      <c r="F157" s="80"/>
      <c r="G157" s="80"/>
      <c r="H157" s="81"/>
      <c r="I157" s="81"/>
      <c r="J157" s="81"/>
      <c r="K157" s="81"/>
      <c r="L157" s="81"/>
      <c r="M157" s="81"/>
      <c r="N157" s="81"/>
      <c r="O157" s="100"/>
      <c r="P157" s="100"/>
      <c r="Q157" s="100"/>
      <c r="R157" s="100"/>
      <c r="S157" s="79"/>
      <c r="T157" s="77"/>
    </row>
    <row r="158" spans="1:20" s="76" customFormat="1" x14ac:dyDescent="0.25">
      <c r="A158" s="101"/>
      <c r="B158" s="103"/>
      <c r="D158" s="80"/>
      <c r="E158" s="80"/>
      <c r="F158" s="80"/>
      <c r="G158" s="80"/>
      <c r="H158" s="81"/>
      <c r="I158" s="81"/>
      <c r="J158" s="81"/>
      <c r="K158" s="81"/>
      <c r="L158" s="81"/>
      <c r="M158" s="81"/>
      <c r="N158" s="81"/>
      <c r="O158" s="100"/>
      <c r="P158" s="100"/>
      <c r="Q158" s="100"/>
      <c r="R158" s="100"/>
      <c r="S158" s="79"/>
      <c r="T158" s="77"/>
    </row>
    <row r="159" spans="1:20" s="76" customFormat="1" x14ac:dyDescent="0.25">
      <c r="A159" s="101"/>
      <c r="B159" s="103"/>
      <c r="D159" s="80"/>
      <c r="E159" s="80"/>
      <c r="F159" s="80"/>
      <c r="G159" s="80"/>
      <c r="H159" s="81"/>
      <c r="I159" s="81"/>
      <c r="J159" s="81"/>
      <c r="K159" s="81"/>
      <c r="L159" s="81"/>
      <c r="M159" s="81"/>
      <c r="N159" s="81"/>
      <c r="O159" s="100"/>
      <c r="P159" s="100"/>
      <c r="Q159" s="100"/>
      <c r="R159" s="100"/>
      <c r="S159" s="79"/>
      <c r="T159" s="77"/>
    </row>
    <row r="160" spans="1:20" s="76" customFormat="1" x14ac:dyDescent="0.25">
      <c r="A160" s="101"/>
      <c r="B160" s="103"/>
      <c r="D160" s="80"/>
      <c r="E160" s="80"/>
      <c r="F160" s="80"/>
      <c r="G160" s="80"/>
      <c r="H160" s="81"/>
      <c r="I160" s="81"/>
      <c r="J160" s="81"/>
      <c r="K160" s="81"/>
      <c r="L160" s="81"/>
      <c r="M160" s="81"/>
      <c r="N160" s="81"/>
      <c r="O160" s="100"/>
      <c r="P160" s="100"/>
      <c r="Q160" s="100"/>
      <c r="R160" s="100"/>
      <c r="S160" s="79"/>
      <c r="T160" s="77"/>
    </row>
    <row r="161" spans="1:20" s="76" customFormat="1" x14ac:dyDescent="0.25">
      <c r="A161" s="101"/>
      <c r="B161" s="103"/>
      <c r="D161" s="80"/>
      <c r="E161" s="80"/>
      <c r="F161" s="80"/>
      <c r="G161" s="80"/>
      <c r="H161" s="81"/>
      <c r="I161" s="81"/>
      <c r="J161" s="81"/>
      <c r="K161" s="81"/>
      <c r="L161" s="81"/>
      <c r="M161" s="81"/>
      <c r="N161" s="81"/>
      <c r="O161" s="100"/>
      <c r="P161" s="100"/>
      <c r="Q161" s="100"/>
      <c r="R161" s="100"/>
      <c r="S161" s="79"/>
      <c r="T161" s="77"/>
    </row>
    <row r="162" spans="1:20" s="76" customFormat="1" x14ac:dyDescent="0.25">
      <c r="A162" s="101"/>
      <c r="B162" s="103"/>
      <c r="D162" s="80"/>
      <c r="E162" s="80"/>
      <c r="F162" s="80"/>
      <c r="G162" s="80"/>
      <c r="H162" s="81"/>
      <c r="I162" s="81"/>
      <c r="J162" s="81"/>
      <c r="K162" s="81"/>
      <c r="L162" s="81"/>
      <c r="M162" s="81"/>
      <c r="N162" s="81"/>
      <c r="O162" s="100"/>
      <c r="P162" s="100"/>
      <c r="Q162" s="100"/>
      <c r="R162" s="100"/>
      <c r="S162" s="79"/>
      <c r="T162" s="77"/>
    </row>
    <row r="163" spans="1:20" s="76" customFormat="1" x14ac:dyDescent="0.25">
      <c r="A163" s="101"/>
      <c r="B163" s="103"/>
      <c r="D163" s="80"/>
      <c r="E163" s="80"/>
      <c r="F163" s="80"/>
      <c r="G163" s="80"/>
      <c r="H163" s="81"/>
      <c r="I163" s="81"/>
      <c r="J163" s="81"/>
      <c r="K163" s="81"/>
      <c r="L163" s="81"/>
      <c r="M163" s="81"/>
      <c r="N163" s="81"/>
      <c r="O163" s="100"/>
      <c r="P163" s="100"/>
      <c r="Q163" s="100"/>
      <c r="R163" s="100"/>
      <c r="S163" s="79"/>
      <c r="T163" s="77"/>
    </row>
    <row r="164" spans="1:20" s="76" customFormat="1" x14ac:dyDescent="0.25">
      <c r="A164" s="101"/>
      <c r="B164" s="103"/>
      <c r="D164" s="80"/>
      <c r="E164" s="80"/>
      <c r="F164" s="80"/>
      <c r="G164" s="80"/>
      <c r="H164" s="81"/>
      <c r="I164" s="81"/>
      <c r="J164" s="81"/>
      <c r="K164" s="81"/>
      <c r="L164" s="81"/>
      <c r="M164" s="81"/>
      <c r="N164" s="81"/>
      <c r="O164" s="100"/>
      <c r="P164" s="100"/>
      <c r="Q164" s="100"/>
      <c r="R164" s="100"/>
      <c r="S164" s="79"/>
      <c r="T164" s="77"/>
    </row>
    <row r="165" spans="1:20" s="76" customFormat="1" x14ac:dyDescent="0.25">
      <c r="A165" s="101"/>
      <c r="B165" s="103"/>
      <c r="D165" s="80"/>
      <c r="E165" s="80"/>
      <c r="F165" s="80"/>
      <c r="G165" s="80"/>
      <c r="H165" s="81"/>
      <c r="I165" s="81"/>
      <c r="J165" s="81"/>
      <c r="K165" s="81"/>
      <c r="L165" s="81"/>
      <c r="M165" s="81"/>
      <c r="N165" s="81"/>
      <c r="O165" s="100"/>
      <c r="P165" s="100"/>
      <c r="Q165" s="100"/>
      <c r="R165" s="100"/>
      <c r="S165" s="79"/>
      <c r="T165" s="77"/>
    </row>
    <row r="166" spans="1:20" s="76" customFormat="1" x14ac:dyDescent="0.25">
      <c r="A166" s="101"/>
      <c r="B166" s="103"/>
      <c r="D166" s="80"/>
      <c r="E166" s="80"/>
      <c r="F166" s="80"/>
      <c r="G166" s="80"/>
      <c r="H166" s="81"/>
      <c r="I166" s="81"/>
      <c r="J166" s="81"/>
      <c r="K166" s="81"/>
      <c r="L166" s="81"/>
      <c r="M166" s="81"/>
      <c r="N166" s="81"/>
      <c r="O166" s="100"/>
      <c r="P166" s="100"/>
      <c r="Q166" s="100"/>
      <c r="R166" s="100"/>
      <c r="S166" s="79"/>
      <c r="T166" s="77"/>
    </row>
    <row r="167" spans="1:20" s="76" customFormat="1" x14ac:dyDescent="0.25">
      <c r="A167" s="101"/>
      <c r="B167" s="103"/>
      <c r="D167" s="80"/>
      <c r="E167" s="80"/>
      <c r="F167" s="80"/>
      <c r="G167" s="80"/>
      <c r="H167" s="81"/>
      <c r="I167" s="81"/>
      <c r="J167" s="81"/>
      <c r="K167" s="81"/>
      <c r="L167" s="81"/>
      <c r="M167" s="81"/>
      <c r="N167" s="81"/>
      <c r="O167" s="100"/>
      <c r="P167" s="100"/>
      <c r="Q167" s="100"/>
      <c r="R167" s="100"/>
      <c r="S167" s="79"/>
      <c r="T167" s="77"/>
    </row>
    <row r="168" spans="1:20" s="76" customFormat="1" x14ac:dyDescent="0.25">
      <c r="A168" s="101"/>
      <c r="B168" s="103"/>
      <c r="D168" s="80"/>
      <c r="E168" s="80"/>
      <c r="F168" s="80"/>
      <c r="G168" s="80"/>
      <c r="H168" s="81"/>
      <c r="I168" s="81"/>
      <c r="J168" s="81"/>
      <c r="K168" s="81"/>
      <c r="L168" s="81"/>
      <c r="M168" s="81"/>
      <c r="N168" s="81"/>
      <c r="O168" s="100"/>
      <c r="P168" s="100"/>
      <c r="Q168" s="100"/>
      <c r="R168" s="100"/>
      <c r="S168" s="79"/>
      <c r="T168" s="77"/>
    </row>
    <row r="169" spans="1:20" s="76" customFormat="1" x14ac:dyDescent="0.25">
      <c r="A169" s="101"/>
      <c r="B169" s="103"/>
      <c r="D169" s="80"/>
      <c r="E169" s="80"/>
      <c r="F169" s="80"/>
      <c r="G169" s="80"/>
      <c r="H169" s="81"/>
      <c r="I169" s="81"/>
      <c r="J169" s="81"/>
      <c r="K169" s="81"/>
      <c r="L169" s="81"/>
      <c r="M169" s="81"/>
      <c r="N169" s="81"/>
      <c r="O169" s="100"/>
      <c r="P169" s="100"/>
      <c r="Q169" s="100"/>
      <c r="R169" s="100"/>
      <c r="S169" s="79"/>
      <c r="T169" s="77"/>
    </row>
    <row r="170" spans="1:20" s="76" customFormat="1" x14ac:dyDescent="0.25">
      <c r="A170" s="101"/>
      <c r="B170" s="103"/>
      <c r="D170" s="80"/>
      <c r="E170" s="80"/>
      <c r="F170" s="80"/>
      <c r="G170" s="80"/>
      <c r="H170" s="81"/>
      <c r="I170" s="81"/>
      <c r="J170" s="81"/>
      <c r="K170" s="81"/>
      <c r="L170" s="81"/>
      <c r="M170" s="81"/>
      <c r="N170" s="81"/>
      <c r="O170" s="100"/>
      <c r="P170" s="100"/>
      <c r="Q170" s="100"/>
      <c r="R170" s="100"/>
      <c r="S170" s="79"/>
      <c r="T170" s="77"/>
    </row>
    <row r="171" spans="1:20" s="76" customFormat="1" x14ac:dyDescent="0.25">
      <c r="A171" s="101"/>
      <c r="B171" s="103"/>
      <c r="D171" s="80"/>
      <c r="E171" s="80"/>
      <c r="F171" s="80"/>
      <c r="G171" s="80"/>
      <c r="H171" s="81"/>
      <c r="I171" s="81"/>
      <c r="J171" s="81"/>
      <c r="K171" s="81"/>
      <c r="L171" s="81"/>
      <c r="M171" s="81"/>
      <c r="N171" s="81"/>
      <c r="O171" s="100"/>
      <c r="P171" s="100"/>
      <c r="Q171" s="100"/>
      <c r="R171" s="100"/>
      <c r="S171" s="79"/>
      <c r="T171" s="77"/>
    </row>
    <row r="172" spans="1:20" s="76" customFormat="1" x14ac:dyDescent="0.25">
      <c r="A172" s="101"/>
      <c r="B172" s="103"/>
      <c r="D172" s="80"/>
      <c r="E172" s="80"/>
      <c r="F172" s="80"/>
      <c r="G172" s="80"/>
      <c r="H172" s="81"/>
      <c r="I172" s="81"/>
      <c r="J172" s="81"/>
      <c r="K172" s="81"/>
      <c r="L172" s="81"/>
      <c r="M172" s="81"/>
      <c r="N172" s="81"/>
      <c r="O172" s="100"/>
      <c r="P172" s="100"/>
      <c r="Q172" s="100"/>
      <c r="R172" s="100"/>
      <c r="S172" s="79"/>
      <c r="T172" s="77"/>
    </row>
    <row r="173" spans="1:20" s="76" customFormat="1" x14ac:dyDescent="0.25">
      <c r="A173" s="101"/>
      <c r="B173" s="103"/>
      <c r="D173" s="80"/>
      <c r="E173" s="80"/>
      <c r="F173" s="80"/>
      <c r="G173" s="80"/>
      <c r="H173" s="81"/>
      <c r="I173" s="81"/>
      <c r="J173" s="81"/>
      <c r="K173" s="81"/>
      <c r="L173" s="81"/>
      <c r="M173" s="81"/>
      <c r="N173" s="81"/>
      <c r="O173" s="100"/>
      <c r="P173" s="100"/>
      <c r="Q173" s="100"/>
      <c r="R173" s="100"/>
      <c r="S173" s="79"/>
      <c r="T173" s="77"/>
    </row>
    <row r="174" spans="1:20" s="76" customFormat="1" x14ac:dyDescent="0.25">
      <c r="A174" s="101"/>
      <c r="B174" s="103"/>
      <c r="D174" s="80"/>
      <c r="E174" s="80"/>
      <c r="F174" s="80"/>
      <c r="G174" s="80"/>
      <c r="H174" s="81"/>
      <c r="I174" s="81"/>
      <c r="J174" s="81"/>
      <c r="K174" s="81"/>
      <c r="L174" s="81"/>
      <c r="M174" s="81"/>
      <c r="N174" s="81"/>
      <c r="O174" s="100"/>
      <c r="P174" s="100"/>
      <c r="Q174" s="100"/>
      <c r="R174" s="100"/>
      <c r="S174" s="79"/>
      <c r="T174" s="77"/>
    </row>
    <row r="175" spans="1:20" s="76" customFormat="1" x14ac:dyDescent="0.25">
      <c r="A175" s="101"/>
      <c r="B175" s="103"/>
      <c r="D175" s="80"/>
      <c r="E175" s="80"/>
      <c r="F175" s="80"/>
      <c r="G175" s="80"/>
      <c r="H175" s="81"/>
      <c r="I175" s="81"/>
      <c r="J175" s="81"/>
      <c r="K175" s="81"/>
      <c r="L175" s="81"/>
      <c r="M175" s="81"/>
      <c r="N175" s="81"/>
      <c r="O175" s="100"/>
      <c r="P175" s="100"/>
      <c r="Q175" s="100"/>
      <c r="R175" s="100"/>
      <c r="S175" s="79"/>
      <c r="T175" s="77"/>
    </row>
    <row r="176" spans="1:20" s="76" customFormat="1" x14ac:dyDescent="0.25">
      <c r="A176" s="101"/>
      <c r="B176" s="103"/>
      <c r="D176" s="80"/>
      <c r="E176" s="80"/>
      <c r="F176" s="80"/>
      <c r="G176" s="80"/>
      <c r="H176" s="81"/>
      <c r="I176" s="81"/>
      <c r="J176" s="81"/>
      <c r="K176" s="81"/>
      <c r="L176" s="81"/>
      <c r="M176" s="81"/>
      <c r="N176" s="81"/>
      <c r="O176" s="100"/>
      <c r="P176" s="100"/>
      <c r="Q176" s="100"/>
      <c r="R176" s="100"/>
      <c r="S176" s="79"/>
      <c r="T176" s="77"/>
    </row>
    <row r="177" spans="1:20" s="76" customFormat="1" x14ac:dyDescent="0.25">
      <c r="A177" s="101"/>
      <c r="B177" s="103"/>
      <c r="D177" s="80"/>
      <c r="E177" s="80"/>
      <c r="F177" s="80"/>
      <c r="G177" s="80"/>
      <c r="H177" s="81"/>
      <c r="I177" s="81"/>
      <c r="J177" s="81"/>
      <c r="K177" s="81"/>
      <c r="L177" s="81"/>
      <c r="M177" s="81"/>
      <c r="N177" s="81"/>
      <c r="O177" s="100"/>
      <c r="P177" s="100"/>
      <c r="Q177" s="100"/>
      <c r="R177" s="100"/>
      <c r="S177" s="79"/>
      <c r="T177" s="77"/>
    </row>
    <row r="178" spans="1:20" s="76" customFormat="1" x14ac:dyDescent="0.25">
      <c r="A178" s="101"/>
      <c r="B178" s="103"/>
      <c r="D178" s="80"/>
      <c r="E178" s="80"/>
      <c r="F178" s="80"/>
      <c r="G178" s="80"/>
      <c r="H178" s="81"/>
      <c r="I178" s="81"/>
      <c r="J178" s="81"/>
      <c r="K178" s="81"/>
      <c r="L178" s="81"/>
      <c r="M178" s="81"/>
      <c r="N178" s="81"/>
      <c r="O178" s="100"/>
      <c r="P178" s="100"/>
      <c r="Q178" s="100"/>
      <c r="R178" s="100"/>
      <c r="S178" s="79"/>
      <c r="T178" s="77"/>
    </row>
    <row r="179" spans="1:20" s="76" customFormat="1" x14ac:dyDescent="0.25">
      <c r="A179" s="101"/>
      <c r="B179" s="103"/>
      <c r="D179" s="80"/>
      <c r="E179" s="80"/>
      <c r="F179" s="80"/>
      <c r="G179" s="80"/>
      <c r="H179" s="81"/>
      <c r="I179" s="81"/>
      <c r="J179" s="81"/>
      <c r="K179" s="81"/>
      <c r="L179" s="81"/>
      <c r="M179" s="81"/>
      <c r="N179" s="81"/>
      <c r="O179" s="100"/>
      <c r="P179" s="100"/>
      <c r="Q179" s="100"/>
      <c r="R179" s="100"/>
      <c r="S179" s="79"/>
      <c r="T179" s="77"/>
    </row>
    <row r="180" spans="1:20" s="76" customFormat="1" x14ac:dyDescent="0.25">
      <c r="A180" s="101"/>
      <c r="B180" s="103"/>
      <c r="D180" s="80"/>
      <c r="E180" s="80"/>
      <c r="F180" s="80"/>
      <c r="G180" s="80"/>
      <c r="H180" s="81"/>
      <c r="I180" s="81"/>
      <c r="J180" s="81"/>
      <c r="K180" s="81"/>
      <c r="L180" s="81"/>
      <c r="M180" s="81"/>
      <c r="N180" s="81"/>
      <c r="O180" s="100"/>
      <c r="P180" s="100"/>
      <c r="Q180" s="100"/>
      <c r="R180" s="100"/>
      <c r="S180" s="79"/>
      <c r="T180" s="77"/>
    </row>
    <row r="181" spans="1:20" s="76" customFormat="1" x14ac:dyDescent="0.25">
      <c r="A181" s="101"/>
      <c r="B181" s="103"/>
      <c r="D181" s="80"/>
      <c r="E181" s="80"/>
      <c r="F181" s="80"/>
      <c r="G181" s="80"/>
      <c r="H181" s="81"/>
      <c r="I181" s="81"/>
      <c r="J181" s="81"/>
      <c r="K181" s="81"/>
      <c r="L181" s="81"/>
      <c r="M181" s="81"/>
      <c r="N181" s="81"/>
      <c r="O181" s="100"/>
      <c r="P181" s="100"/>
      <c r="Q181" s="100"/>
      <c r="R181" s="100"/>
      <c r="S181" s="79"/>
      <c r="T181" s="77"/>
    </row>
    <row r="182" spans="1:20" s="76" customFormat="1" x14ac:dyDescent="0.25">
      <c r="A182" s="101"/>
      <c r="B182" s="103"/>
      <c r="D182" s="80"/>
      <c r="E182" s="80"/>
      <c r="F182" s="80"/>
      <c r="G182" s="80"/>
      <c r="H182" s="81"/>
      <c r="I182" s="81"/>
      <c r="J182" s="81"/>
      <c r="K182" s="81"/>
      <c r="L182" s="81"/>
      <c r="M182" s="81"/>
      <c r="N182" s="81"/>
      <c r="O182" s="100"/>
      <c r="P182" s="100"/>
      <c r="Q182" s="100"/>
      <c r="R182" s="100"/>
      <c r="S182" s="79"/>
      <c r="T182" s="77"/>
    </row>
    <row r="183" spans="1:20" s="76" customFormat="1" x14ac:dyDescent="0.25">
      <c r="A183" s="101"/>
      <c r="B183" s="103"/>
      <c r="D183" s="80"/>
      <c r="E183" s="80"/>
      <c r="F183" s="80"/>
      <c r="G183" s="80"/>
      <c r="H183" s="81"/>
      <c r="I183" s="81"/>
      <c r="J183" s="81"/>
      <c r="K183" s="81"/>
      <c r="L183" s="81"/>
      <c r="M183" s="81"/>
      <c r="N183" s="81"/>
      <c r="O183" s="100"/>
      <c r="P183" s="100"/>
      <c r="Q183" s="100"/>
      <c r="R183" s="100"/>
      <c r="S183" s="79"/>
      <c r="T183" s="77"/>
    </row>
    <row r="184" spans="1:20" s="76" customFormat="1" x14ac:dyDescent="0.25">
      <c r="A184" s="101"/>
      <c r="B184" s="103"/>
      <c r="D184" s="80"/>
      <c r="E184" s="80"/>
      <c r="F184" s="80"/>
      <c r="G184" s="80"/>
      <c r="H184" s="81"/>
      <c r="I184" s="81"/>
      <c r="J184" s="81"/>
      <c r="K184" s="81"/>
      <c r="L184" s="81"/>
      <c r="M184" s="81"/>
      <c r="N184" s="81"/>
      <c r="O184" s="100"/>
      <c r="P184" s="100"/>
      <c r="Q184" s="100"/>
      <c r="R184" s="100"/>
      <c r="S184" s="79"/>
      <c r="T184" s="77"/>
    </row>
    <row r="185" spans="1:20" s="76" customFormat="1" x14ac:dyDescent="0.25">
      <c r="A185" s="101"/>
      <c r="B185" s="103"/>
      <c r="D185" s="80"/>
      <c r="E185" s="80"/>
      <c r="F185" s="80"/>
      <c r="G185" s="80"/>
      <c r="H185" s="81"/>
      <c r="I185" s="81"/>
      <c r="J185" s="81"/>
      <c r="K185" s="81"/>
      <c r="L185" s="81"/>
      <c r="M185" s="81"/>
      <c r="N185" s="81"/>
      <c r="O185" s="100"/>
      <c r="P185" s="100"/>
      <c r="Q185" s="100"/>
      <c r="R185" s="100"/>
      <c r="S185" s="79"/>
      <c r="T185" s="77"/>
    </row>
    <row r="186" spans="1:20" s="76" customFormat="1" x14ac:dyDescent="0.25">
      <c r="A186" s="101"/>
      <c r="B186" s="103"/>
      <c r="D186" s="80"/>
      <c r="E186" s="80"/>
      <c r="F186" s="80"/>
      <c r="G186" s="80"/>
      <c r="H186" s="81"/>
      <c r="I186" s="81"/>
      <c r="J186" s="81"/>
      <c r="K186" s="81"/>
      <c r="L186" s="81"/>
      <c r="M186" s="81"/>
      <c r="N186" s="81"/>
      <c r="O186" s="100"/>
      <c r="P186" s="100"/>
      <c r="Q186" s="100"/>
      <c r="R186" s="100"/>
      <c r="S186" s="79"/>
      <c r="T186" s="77"/>
    </row>
    <row r="187" spans="1:20" s="76" customFormat="1" x14ac:dyDescent="0.25">
      <c r="A187" s="101"/>
      <c r="B187" s="103"/>
      <c r="D187" s="80"/>
      <c r="E187" s="80"/>
      <c r="F187" s="80"/>
      <c r="G187" s="80"/>
      <c r="H187" s="81"/>
      <c r="I187" s="81"/>
      <c r="J187" s="81"/>
      <c r="K187" s="81"/>
      <c r="L187" s="81"/>
      <c r="M187" s="81"/>
      <c r="N187" s="81"/>
      <c r="O187" s="100"/>
      <c r="P187" s="100"/>
      <c r="Q187" s="100"/>
      <c r="R187" s="100"/>
      <c r="S187" s="79"/>
      <c r="T187" s="77"/>
    </row>
    <row r="188" spans="1:20" s="76" customFormat="1" x14ac:dyDescent="0.25">
      <c r="A188" s="101"/>
      <c r="B188" s="103"/>
      <c r="D188" s="80"/>
      <c r="E188" s="80"/>
      <c r="F188" s="80"/>
      <c r="G188" s="80"/>
      <c r="H188" s="81"/>
      <c r="I188" s="81"/>
      <c r="J188" s="81"/>
      <c r="K188" s="81"/>
      <c r="L188" s="81"/>
      <c r="M188" s="81"/>
      <c r="N188" s="81"/>
      <c r="O188" s="100"/>
      <c r="P188" s="100"/>
      <c r="Q188" s="100"/>
      <c r="R188" s="100"/>
      <c r="S188" s="79"/>
      <c r="T188" s="77"/>
    </row>
    <row r="189" spans="1:20" s="76" customFormat="1" x14ac:dyDescent="0.25">
      <c r="A189" s="101"/>
      <c r="B189" s="103"/>
      <c r="D189" s="80"/>
      <c r="E189" s="80"/>
      <c r="F189" s="80"/>
      <c r="G189" s="80"/>
      <c r="H189" s="81"/>
      <c r="I189" s="81"/>
      <c r="J189" s="81"/>
      <c r="K189" s="81"/>
      <c r="L189" s="81"/>
      <c r="M189" s="81"/>
      <c r="N189" s="81"/>
      <c r="O189" s="100"/>
      <c r="P189" s="100"/>
      <c r="Q189" s="100"/>
      <c r="R189" s="100"/>
      <c r="S189" s="79"/>
      <c r="T189" s="77"/>
    </row>
    <row r="190" spans="1:20" s="76" customFormat="1" x14ac:dyDescent="0.25">
      <c r="A190" s="101"/>
      <c r="B190" s="103"/>
      <c r="D190" s="80"/>
      <c r="E190" s="80"/>
      <c r="F190" s="80"/>
      <c r="G190" s="80"/>
      <c r="H190" s="81"/>
      <c r="I190" s="81"/>
      <c r="J190" s="81"/>
      <c r="K190" s="81"/>
      <c r="L190" s="81"/>
      <c r="M190" s="81"/>
      <c r="N190" s="81"/>
      <c r="O190" s="100"/>
      <c r="P190" s="100"/>
      <c r="Q190" s="100"/>
      <c r="R190" s="100"/>
      <c r="S190" s="79"/>
      <c r="T190" s="77"/>
    </row>
    <row r="191" spans="1:20" s="76" customFormat="1" x14ac:dyDescent="0.25">
      <c r="A191" s="101"/>
      <c r="B191" s="103"/>
      <c r="D191" s="80"/>
      <c r="E191" s="80"/>
      <c r="F191" s="80"/>
      <c r="G191" s="80"/>
      <c r="H191" s="81"/>
      <c r="I191" s="81"/>
      <c r="J191" s="81"/>
      <c r="K191" s="81"/>
      <c r="L191" s="81"/>
      <c r="M191" s="81"/>
      <c r="N191" s="81"/>
      <c r="O191" s="100"/>
      <c r="P191" s="100"/>
      <c r="Q191" s="100"/>
      <c r="R191" s="100"/>
      <c r="S191" s="79"/>
      <c r="T191" s="77"/>
    </row>
    <row r="192" spans="1:20" s="76" customFormat="1" x14ac:dyDescent="0.25">
      <c r="A192" s="101"/>
      <c r="B192" s="103"/>
      <c r="D192" s="80"/>
      <c r="E192" s="80"/>
      <c r="F192" s="80"/>
      <c r="G192" s="80"/>
      <c r="H192" s="81"/>
      <c r="I192" s="81"/>
      <c r="J192" s="81"/>
      <c r="K192" s="81"/>
      <c r="L192" s="81"/>
      <c r="M192" s="81"/>
      <c r="N192" s="81"/>
      <c r="O192" s="100"/>
      <c r="P192" s="100"/>
      <c r="Q192" s="100"/>
      <c r="R192" s="100"/>
      <c r="S192" s="79"/>
      <c r="T192" s="77"/>
    </row>
    <row r="193" spans="1:20" s="76" customFormat="1" x14ac:dyDescent="0.25">
      <c r="A193" s="101"/>
      <c r="B193" s="103"/>
      <c r="D193" s="80"/>
      <c r="E193" s="80"/>
      <c r="F193" s="80"/>
      <c r="G193" s="80"/>
      <c r="H193" s="81"/>
      <c r="I193" s="81"/>
      <c r="J193" s="81"/>
      <c r="K193" s="81"/>
      <c r="L193" s="81"/>
      <c r="M193" s="81"/>
      <c r="N193" s="81"/>
      <c r="O193" s="100"/>
      <c r="P193" s="100"/>
      <c r="Q193" s="100"/>
      <c r="R193" s="100"/>
      <c r="S193" s="79"/>
      <c r="T193" s="77"/>
    </row>
    <row r="194" spans="1:20" s="76" customFormat="1" x14ac:dyDescent="0.25">
      <c r="A194" s="101"/>
      <c r="B194" s="103"/>
      <c r="D194" s="80"/>
      <c r="E194" s="80"/>
      <c r="F194" s="80"/>
      <c r="G194" s="80"/>
      <c r="H194" s="81"/>
      <c r="I194" s="81"/>
      <c r="J194" s="81"/>
      <c r="K194" s="81"/>
      <c r="L194" s="81"/>
      <c r="M194" s="81"/>
      <c r="N194" s="81"/>
      <c r="O194" s="100"/>
      <c r="P194" s="100"/>
      <c r="Q194" s="100"/>
      <c r="R194" s="100"/>
      <c r="S194" s="79"/>
      <c r="T194" s="77"/>
    </row>
    <row r="195" spans="1:20" s="76" customFormat="1" x14ac:dyDescent="0.25">
      <c r="A195" s="101"/>
      <c r="B195" s="103"/>
      <c r="D195" s="80"/>
      <c r="E195" s="80"/>
      <c r="F195" s="80"/>
      <c r="G195" s="80"/>
      <c r="H195" s="81"/>
      <c r="I195" s="81"/>
      <c r="J195" s="81"/>
      <c r="K195" s="81"/>
      <c r="L195" s="81"/>
      <c r="M195" s="81"/>
      <c r="N195" s="81"/>
      <c r="O195" s="100"/>
      <c r="P195" s="100"/>
      <c r="Q195" s="100"/>
      <c r="R195" s="100"/>
      <c r="S195" s="79"/>
      <c r="T195" s="77"/>
    </row>
    <row r="196" spans="1:20" s="76" customFormat="1" x14ac:dyDescent="0.25">
      <c r="A196" s="101"/>
      <c r="B196" s="103"/>
      <c r="D196" s="80"/>
      <c r="E196" s="80"/>
      <c r="F196" s="80"/>
      <c r="G196" s="80"/>
      <c r="H196" s="81"/>
      <c r="I196" s="81"/>
      <c r="J196" s="81"/>
      <c r="K196" s="81"/>
      <c r="L196" s="81"/>
      <c r="M196" s="81"/>
      <c r="N196" s="81"/>
      <c r="O196" s="100"/>
      <c r="P196" s="100"/>
      <c r="Q196" s="100"/>
      <c r="R196" s="100"/>
      <c r="S196" s="79"/>
      <c r="T196" s="77"/>
    </row>
    <row r="197" spans="1:20" s="76" customFormat="1" x14ac:dyDescent="0.25">
      <c r="A197" s="101"/>
      <c r="B197" s="103"/>
      <c r="D197" s="80"/>
      <c r="E197" s="80"/>
      <c r="F197" s="80"/>
      <c r="G197" s="80"/>
      <c r="H197" s="81"/>
      <c r="I197" s="81"/>
      <c r="J197" s="81"/>
      <c r="K197" s="81"/>
      <c r="L197" s="81"/>
      <c r="M197" s="81"/>
      <c r="N197" s="81"/>
      <c r="O197" s="100"/>
      <c r="P197" s="100"/>
      <c r="Q197" s="100"/>
      <c r="R197" s="100"/>
      <c r="S197" s="79"/>
      <c r="T197" s="77"/>
    </row>
    <row r="198" spans="1:20" s="76" customFormat="1" x14ac:dyDescent="0.25">
      <c r="A198" s="101"/>
      <c r="B198" s="103"/>
      <c r="D198" s="80"/>
      <c r="E198" s="80"/>
      <c r="F198" s="80"/>
      <c r="G198" s="80"/>
      <c r="H198" s="81"/>
      <c r="I198" s="81"/>
      <c r="J198" s="81"/>
      <c r="K198" s="81"/>
      <c r="L198" s="81"/>
      <c r="M198" s="81"/>
      <c r="N198" s="81"/>
      <c r="O198" s="100"/>
      <c r="P198" s="100"/>
      <c r="Q198" s="100"/>
      <c r="R198" s="100"/>
      <c r="S198" s="79"/>
      <c r="T198" s="77"/>
    </row>
    <row r="199" spans="1:20" s="76" customFormat="1" x14ac:dyDescent="0.25">
      <c r="A199" s="101"/>
      <c r="B199" s="103"/>
      <c r="D199" s="80"/>
      <c r="E199" s="80"/>
      <c r="F199" s="80"/>
      <c r="G199" s="80"/>
      <c r="H199" s="81"/>
      <c r="I199" s="81"/>
      <c r="J199" s="81"/>
      <c r="K199" s="81"/>
      <c r="L199" s="81"/>
      <c r="M199" s="81"/>
      <c r="N199" s="81"/>
      <c r="O199" s="100"/>
      <c r="P199" s="100"/>
      <c r="Q199" s="100"/>
      <c r="R199" s="100"/>
      <c r="S199" s="79"/>
      <c r="T199" s="77"/>
    </row>
    <row r="200" spans="1:20" s="76" customFormat="1" x14ac:dyDescent="0.25">
      <c r="A200" s="101"/>
      <c r="B200" s="103"/>
      <c r="D200" s="80"/>
      <c r="E200" s="80"/>
      <c r="F200" s="80"/>
      <c r="G200" s="80"/>
      <c r="H200" s="81"/>
      <c r="I200" s="81"/>
      <c r="J200" s="81"/>
      <c r="K200" s="81"/>
      <c r="L200" s="81"/>
      <c r="M200" s="81"/>
      <c r="N200" s="81"/>
      <c r="O200" s="100"/>
      <c r="P200" s="100"/>
      <c r="Q200" s="100"/>
      <c r="R200" s="100"/>
      <c r="S200" s="79"/>
      <c r="T200" s="77"/>
    </row>
    <row r="201" spans="1:20" s="76" customFormat="1" x14ac:dyDescent="0.25">
      <c r="A201" s="101"/>
      <c r="B201" s="103"/>
      <c r="D201" s="80"/>
      <c r="E201" s="80"/>
      <c r="F201" s="80"/>
      <c r="G201" s="80"/>
      <c r="H201" s="81"/>
      <c r="I201" s="81"/>
      <c r="J201" s="81"/>
      <c r="K201" s="81"/>
      <c r="L201" s="81"/>
      <c r="M201" s="81"/>
      <c r="N201" s="81"/>
      <c r="O201" s="100"/>
      <c r="P201" s="100"/>
      <c r="Q201" s="100"/>
      <c r="R201" s="100"/>
      <c r="S201" s="79"/>
      <c r="T201" s="77"/>
    </row>
    <row r="202" spans="1:20" s="76" customFormat="1" x14ac:dyDescent="0.25">
      <c r="A202" s="101"/>
      <c r="B202" s="103"/>
      <c r="D202" s="80"/>
      <c r="E202" s="80"/>
      <c r="F202" s="80"/>
      <c r="G202" s="80"/>
      <c r="H202" s="81"/>
      <c r="I202" s="81"/>
      <c r="J202" s="81"/>
      <c r="K202" s="81"/>
      <c r="L202" s="81"/>
      <c r="M202" s="81"/>
      <c r="N202" s="81"/>
      <c r="O202" s="100"/>
      <c r="P202" s="100"/>
      <c r="Q202" s="100"/>
      <c r="R202" s="100"/>
      <c r="S202" s="79"/>
      <c r="T202" s="77"/>
    </row>
    <row r="203" spans="1:20" s="76" customFormat="1" x14ac:dyDescent="0.25">
      <c r="A203" s="101"/>
      <c r="B203" s="103"/>
      <c r="D203" s="80"/>
      <c r="E203" s="80"/>
      <c r="F203" s="80"/>
      <c r="G203" s="80"/>
      <c r="H203" s="81"/>
      <c r="I203" s="81"/>
      <c r="J203" s="81"/>
      <c r="K203" s="81"/>
      <c r="L203" s="81"/>
      <c r="M203" s="81"/>
      <c r="N203" s="81"/>
      <c r="O203" s="100"/>
      <c r="P203" s="100"/>
      <c r="Q203" s="100"/>
      <c r="R203" s="100"/>
      <c r="S203" s="79"/>
      <c r="T203" s="77"/>
    </row>
    <row r="204" spans="1:20" s="76" customFormat="1" x14ac:dyDescent="0.25">
      <c r="A204" s="101"/>
      <c r="B204" s="103"/>
      <c r="D204" s="80"/>
      <c r="E204" s="80"/>
      <c r="F204" s="80"/>
      <c r="G204" s="80"/>
      <c r="H204" s="81"/>
      <c r="I204" s="81"/>
      <c r="J204" s="81"/>
      <c r="K204" s="81"/>
      <c r="L204" s="81"/>
      <c r="M204" s="81"/>
      <c r="N204" s="81"/>
      <c r="O204" s="100"/>
      <c r="P204" s="100"/>
      <c r="Q204" s="100"/>
      <c r="R204" s="100"/>
      <c r="S204" s="79"/>
      <c r="T204" s="77"/>
    </row>
    <row r="205" spans="1:20" s="76" customFormat="1" x14ac:dyDescent="0.25">
      <c r="A205" s="101"/>
      <c r="B205" s="103"/>
      <c r="D205" s="80"/>
      <c r="E205" s="80"/>
      <c r="F205" s="80"/>
      <c r="G205" s="80"/>
      <c r="H205" s="81"/>
      <c r="I205" s="81"/>
      <c r="J205" s="81"/>
      <c r="K205" s="81"/>
      <c r="L205" s="81"/>
      <c r="M205" s="81"/>
      <c r="N205" s="81"/>
      <c r="O205" s="100"/>
      <c r="P205" s="100"/>
      <c r="Q205" s="100"/>
      <c r="R205" s="100"/>
      <c r="S205" s="79"/>
      <c r="T205" s="77"/>
    </row>
    <row r="206" spans="1:20" s="76" customFormat="1" x14ac:dyDescent="0.25">
      <c r="A206" s="101"/>
      <c r="B206" s="103"/>
      <c r="D206" s="80"/>
      <c r="E206" s="80"/>
      <c r="F206" s="80"/>
      <c r="G206" s="80"/>
      <c r="H206" s="81"/>
      <c r="I206" s="81"/>
      <c r="J206" s="81"/>
      <c r="K206" s="81"/>
      <c r="L206" s="81"/>
      <c r="M206" s="81"/>
      <c r="N206" s="81"/>
      <c r="O206" s="100"/>
      <c r="P206" s="100"/>
      <c r="Q206" s="100"/>
      <c r="R206" s="100"/>
      <c r="S206" s="79"/>
      <c r="T206" s="77"/>
    </row>
    <row r="207" spans="1:20" s="76" customFormat="1" x14ac:dyDescent="0.25">
      <c r="A207" s="101"/>
      <c r="B207" s="103"/>
      <c r="D207" s="80"/>
      <c r="E207" s="80"/>
      <c r="F207" s="80"/>
      <c r="G207" s="80"/>
      <c r="H207" s="81"/>
      <c r="I207" s="81"/>
      <c r="J207" s="81"/>
      <c r="K207" s="81"/>
      <c r="L207" s="81"/>
      <c r="M207" s="81"/>
      <c r="N207" s="81"/>
      <c r="O207" s="100"/>
      <c r="P207" s="100"/>
      <c r="Q207" s="100"/>
      <c r="R207" s="100"/>
      <c r="S207" s="79"/>
      <c r="T207" s="77"/>
    </row>
    <row r="208" spans="1:20" s="76" customFormat="1" x14ac:dyDescent="0.25">
      <c r="A208" s="101"/>
      <c r="B208" s="103"/>
      <c r="D208" s="80"/>
      <c r="E208" s="80"/>
      <c r="F208" s="80"/>
      <c r="G208" s="80"/>
      <c r="H208" s="81"/>
      <c r="I208" s="81"/>
      <c r="J208" s="81"/>
      <c r="K208" s="81"/>
      <c r="L208" s="81"/>
      <c r="M208" s="81"/>
      <c r="N208" s="81"/>
      <c r="O208" s="100"/>
      <c r="P208" s="100"/>
      <c r="Q208" s="100"/>
      <c r="R208" s="100"/>
      <c r="S208" s="79"/>
      <c r="T208" s="77"/>
    </row>
    <row r="209" spans="1:20" s="76" customFormat="1" x14ac:dyDescent="0.25">
      <c r="A209" s="101"/>
      <c r="B209" s="103"/>
      <c r="D209" s="80"/>
      <c r="E209" s="80"/>
      <c r="F209" s="80"/>
      <c r="G209" s="80"/>
      <c r="H209" s="81"/>
      <c r="I209" s="81"/>
      <c r="J209" s="81"/>
      <c r="K209" s="81"/>
      <c r="L209" s="81"/>
      <c r="M209" s="81"/>
      <c r="N209" s="81"/>
      <c r="O209" s="100"/>
      <c r="P209" s="100"/>
      <c r="Q209" s="100"/>
      <c r="R209" s="100"/>
      <c r="S209" s="79"/>
      <c r="T209" s="77"/>
    </row>
    <row r="210" spans="1:20" s="76" customFormat="1" x14ac:dyDescent="0.25">
      <c r="A210" s="101"/>
      <c r="B210" s="103"/>
      <c r="D210" s="80"/>
      <c r="E210" s="80"/>
      <c r="F210" s="80"/>
      <c r="G210" s="80"/>
      <c r="H210" s="81"/>
      <c r="I210" s="81"/>
      <c r="J210" s="81"/>
      <c r="K210" s="81"/>
      <c r="L210" s="81"/>
      <c r="M210" s="81"/>
      <c r="N210" s="81"/>
      <c r="O210" s="100"/>
      <c r="P210" s="100"/>
      <c r="Q210" s="100"/>
      <c r="R210" s="100"/>
      <c r="S210" s="79"/>
      <c r="T210" s="77"/>
    </row>
    <row r="211" spans="1:20" s="76" customFormat="1" x14ac:dyDescent="0.25">
      <c r="A211" s="101"/>
      <c r="B211" s="103"/>
      <c r="D211" s="80"/>
      <c r="E211" s="80"/>
      <c r="F211" s="80"/>
      <c r="G211" s="80"/>
      <c r="H211" s="81"/>
      <c r="I211" s="81"/>
      <c r="J211" s="81"/>
      <c r="K211" s="81"/>
      <c r="L211" s="81"/>
      <c r="M211" s="81"/>
      <c r="N211" s="81"/>
      <c r="O211" s="100"/>
      <c r="P211" s="100"/>
      <c r="Q211" s="100"/>
      <c r="R211" s="100"/>
      <c r="S211" s="79"/>
      <c r="T211" s="77"/>
    </row>
    <row r="212" spans="1:20" s="76" customFormat="1" x14ac:dyDescent="0.25">
      <c r="A212" s="101"/>
      <c r="B212" s="103"/>
      <c r="D212" s="80"/>
      <c r="E212" s="80"/>
      <c r="F212" s="80"/>
      <c r="G212" s="80"/>
      <c r="H212" s="81"/>
      <c r="I212" s="81"/>
      <c r="J212" s="81"/>
      <c r="K212" s="81"/>
      <c r="L212" s="81"/>
      <c r="M212" s="81"/>
      <c r="N212" s="81"/>
      <c r="O212" s="100"/>
      <c r="P212" s="100"/>
      <c r="Q212" s="100"/>
      <c r="R212" s="100"/>
      <c r="S212" s="79"/>
      <c r="T212" s="77"/>
    </row>
    <row r="213" spans="1:20" s="76" customFormat="1" x14ac:dyDescent="0.25">
      <c r="A213" s="101"/>
      <c r="B213" s="103"/>
      <c r="D213" s="80"/>
      <c r="E213" s="80"/>
      <c r="F213" s="80"/>
      <c r="G213" s="80"/>
      <c r="H213" s="81"/>
      <c r="I213" s="81"/>
      <c r="J213" s="81"/>
      <c r="K213" s="81"/>
      <c r="L213" s="81"/>
      <c r="M213" s="81"/>
      <c r="N213" s="81"/>
      <c r="O213" s="100"/>
      <c r="P213" s="100"/>
      <c r="Q213" s="100"/>
      <c r="R213" s="100"/>
      <c r="S213" s="79"/>
      <c r="T213" s="77"/>
    </row>
    <row r="214" spans="1:20" s="76" customFormat="1" x14ac:dyDescent="0.25">
      <c r="A214" s="101"/>
      <c r="B214" s="103"/>
      <c r="D214" s="80"/>
      <c r="E214" s="80"/>
      <c r="F214" s="80"/>
      <c r="G214" s="80"/>
      <c r="H214" s="81"/>
      <c r="I214" s="81"/>
      <c r="J214" s="81"/>
      <c r="K214" s="81"/>
      <c r="L214" s="81"/>
      <c r="M214" s="81"/>
      <c r="N214" s="81"/>
      <c r="O214" s="100"/>
      <c r="P214" s="100"/>
      <c r="Q214" s="100"/>
      <c r="R214" s="100"/>
      <c r="S214" s="79"/>
      <c r="T214" s="77"/>
    </row>
    <row r="215" spans="1:20" s="76" customFormat="1" x14ac:dyDescent="0.25">
      <c r="A215" s="101"/>
      <c r="B215" s="103"/>
      <c r="D215" s="80"/>
      <c r="E215" s="80"/>
      <c r="F215" s="80"/>
      <c r="G215" s="80"/>
      <c r="H215" s="81"/>
      <c r="I215" s="81"/>
      <c r="J215" s="81"/>
      <c r="K215" s="81"/>
      <c r="L215" s="81"/>
      <c r="M215" s="81"/>
      <c r="N215" s="81"/>
      <c r="O215" s="100"/>
      <c r="P215" s="100"/>
      <c r="Q215" s="100"/>
      <c r="R215" s="100"/>
      <c r="S215" s="79"/>
      <c r="T215" s="77"/>
    </row>
    <row r="216" spans="1:20" s="76" customFormat="1" x14ac:dyDescent="0.25">
      <c r="A216" s="101"/>
      <c r="B216" s="103"/>
      <c r="D216" s="80"/>
      <c r="E216" s="80"/>
      <c r="F216" s="80"/>
      <c r="G216" s="80"/>
      <c r="H216" s="81"/>
      <c r="I216" s="81"/>
      <c r="J216" s="81"/>
      <c r="K216" s="81"/>
      <c r="L216" s="81"/>
      <c r="M216" s="81"/>
      <c r="N216" s="81"/>
      <c r="O216" s="100"/>
      <c r="P216" s="100"/>
      <c r="Q216" s="100"/>
      <c r="R216" s="100"/>
      <c r="S216" s="79"/>
      <c r="T216" s="77"/>
    </row>
    <row r="217" spans="1:20" s="76" customFormat="1" x14ac:dyDescent="0.25">
      <c r="A217" s="101"/>
      <c r="B217" s="103"/>
      <c r="D217" s="80"/>
      <c r="E217" s="80"/>
      <c r="F217" s="80"/>
      <c r="G217" s="80"/>
      <c r="H217" s="81"/>
      <c r="I217" s="81"/>
      <c r="J217" s="81"/>
      <c r="K217" s="81"/>
      <c r="L217" s="81"/>
      <c r="M217" s="81"/>
      <c r="N217" s="81"/>
      <c r="O217" s="100"/>
      <c r="P217" s="100"/>
      <c r="Q217" s="100"/>
      <c r="R217" s="100"/>
      <c r="S217" s="79"/>
      <c r="T217" s="77"/>
    </row>
    <row r="218" spans="1:20" s="76" customFormat="1" x14ac:dyDescent="0.25">
      <c r="A218" s="101"/>
      <c r="B218" s="103"/>
      <c r="D218" s="80"/>
      <c r="E218" s="80"/>
      <c r="F218" s="80"/>
      <c r="G218" s="80"/>
      <c r="H218" s="81"/>
      <c r="I218" s="81"/>
      <c r="J218" s="81"/>
      <c r="K218" s="81"/>
      <c r="L218" s="81"/>
      <c r="M218" s="81"/>
      <c r="N218" s="81"/>
      <c r="O218" s="100"/>
      <c r="P218" s="100"/>
      <c r="Q218" s="100"/>
      <c r="R218" s="100"/>
      <c r="S218" s="79"/>
      <c r="T218" s="77"/>
    </row>
    <row r="219" spans="1:20" s="76" customFormat="1" x14ac:dyDescent="0.25">
      <c r="A219" s="101"/>
      <c r="B219" s="103"/>
      <c r="D219" s="80"/>
      <c r="E219" s="80"/>
      <c r="F219" s="80"/>
      <c r="G219" s="80"/>
      <c r="H219" s="81"/>
      <c r="I219" s="81"/>
      <c r="J219" s="81"/>
      <c r="K219" s="81"/>
      <c r="L219" s="81"/>
      <c r="M219" s="81"/>
      <c r="N219" s="81"/>
      <c r="O219" s="100"/>
      <c r="P219" s="100"/>
      <c r="Q219" s="100"/>
      <c r="R219" s="100"/>
      <c r="S219" s="79"/>
      <c r="T219" s="77"/>
    </row>
    <row r="220" spans="1:20" s="76" customFormat="1" x14ac:dyDescent="0.25">
      <c r="A220" s="101"/>
      <c r="B220" s="103"/>
      <c r="D220" s="80"/>
      <c r="E220" s="80"/>
      <c r="F220" s="80"/>
      <c r="G220" s="80"/>
      <c r="H220" s="81"/>
      <c r="I220" s="81"/>
      <c r="J220" s="81"/>
      <c r="K220" s="81"/>
      <c r="L220" s="81"/>
      <c r="M220" s="81"/>
      <c r="N220" s="81"/>
      <c r="O220" s="100"/>
      <c r="P220" s="100"/>
      <c r="Q220" s="100"/>
      <c r="R220" s="100"/>
      <c r="S220" s="79"/>
      <c r="T220" s="77"/>
    </row>
    <row r="221" spans="1:20" s="76" customFormat="1" x14ac:dyDescent="0.25">
      <c r="A221" s="101"/>
      <c r="B221" s="103"/>
      <c r="D221" s="80"/>
      <c r="E221" s="80"/>
      <c r="F221" s="80"/>
      <c r="G221" s="80"/>
      <c r="H221" s="81"/>
      <c r="I221" s="81"/>
      <c r="J221" s="81"/>
      <c r="K221" s="81"/>
      <c r="L221" s="81"/>
      <c r="M221" s="81"/>
      <c r="N221" s="81"/>
      <c r="O221" s="100"/>
      <c r="P221" s="100"/>
      <c r="Q221" s="100"/>
      <c r="R221" s="100"/>
      <c r="S221" s="79"/>
      <c r="T221" s="77"/>
    </row>
    <row r="222" spans="1:20" s="76" customFormat="1" x14ac:dyDescent="0.25">
      <c r="A222" s="101"/>
      <c r="B222" s="103"/>
      <c r="D222" s="80"/>
      <c r="E222" s="80"/>
      <c r="F222" s="80"/>
      <c r="G222" s="80"/>
      <c r="H222" s="81"/>
      <c r="I222" s="81"/>
      <c r="J222" s="81"/>
      <c r="K222" s="81"/>
      <c r="L222" s="81"/>
      <c r="M222" s="81"/>
      <c r="N222" s="81"/>
      <c r="O222" s="100"/>
      <c r="P222" s="100"/>
      <c r="Q222" s="100"/>
      <c r="R222" s="100"/>
      <c r="S222" s="79"/>
      <c r="T222" s="77"/>
    </row>
    <row r="223" spans="1:20" s="76" customFormat="1" x14ac:dyDescent="0.25">
      <c r="A223" s="101"/>
      <c r="B223" s="103"/>
      <c r="D223" s="80"/>
      <c r="E223" s="80"/>
      <c r="F223" s="80"/>
      <c r="G223" s="80"/>
      <c r="H223" s="81"/>
      <c r="I223" s="81"/>
      <c r="J223" s="81"/>
      <c r="K223" s="81"/>
      <c r="L223" s="81"/>
      <c r="M223" s="81"/>
      <c r="N223" s="81"/>
      <c r="O223" s="100"/>
      <c r="P223" s="100"/>
      <c r="Q223" s="100"/>
      <c r="R223" s="100"/>
      <c r="S223" s="79"/>
      <c r="T223" s="77"/>
    </row>
    <row r="224" spans="1:20" s="76" customFormat="1" x14ac:dyDescent="0.25">
      <c r="A224" s="101"/>
      <c r="B224" s="103"/>
      <c r="D224" s="80"/>
      <c r="E224" s="80"/>
      <c r="F224" s="80"/>
      <c r="G224" s="80"/>
      <c r="H224" s="81"/>
      <c r="I224" s="81"/>
      <c r="J224" s="81"/>
      <c r="K224" s="81"/>
      <c r="L224" s="81"/>
      <c r="M224" s="81"/>
      <c r="N224" s="81"/>
      <c r="O224" s="100"/>
      <c r="P224" s="100"/>
      <c r="Q224" s="100"/>
      <c r="R224" s="100"/>
      <c r="S224" s="79"/>
      <c r="T224" s="77"/>
    </row>
    <row r="225" spans="1:20" s="76" customFormat="1" x14ac:dyDescent="0.25">
      <c r="A225" s="101"/>
      <c r="B225" s="103"/>
      <c r="D225" s="80"/>
      <c r="E225" s="80"/>
      <c r="F225" s="80"/>
      <c r="G225" s="80"/>
      <c r="H225" s="81"/>
      <c r="I225" s="81"/>
      <c r="J225" s="81"/>
      <c r="K225" s="81"/>
      <c r="L225" s="81"/>
      <c r="M225" s="81"/>
      <c r="N225" s="81"/>
      <c r="O225" s="100"/>
      <c r="P225" s="100"/>
      <c r="Q225" s="100"/>
      <c r="R225" s="100"/>
      <c r="S225" s="79"/>
      <c r="T225" s="77"/>
    </row>
    <row r="226" spans="1:20" s="76" customFormat="1" x14ac:dyDescent="0.25">
      <c r="A226" s="101"/>
      <c r="B226" s="103"/>
      <c r="D226" s="80"/>
      <c r="E226" s="80"/>
      <c r="F226" s="80"/>
      <c r="G226" s="80"/>
      <c r="H226" s="81"/>
      <c r="I226" s="81"/>
      <c r="J226" s="81"/>
      <c r="K226" s="81"/>
      <c r="L226" s="81"/>
      <c r="M226" s="81"/>
      <c r="N226" s="81"/>
      <c r="O226" s="100"/>
      <c r="P226" s="100"/>
      <c r="Q226" s="100"/>
      <c r="R226" s="100"/>
      <c r="S226" s="79"/>
      <c r="T226" s="77"/>
    </row>
    <row r="227" spans="1:20" s="76" customFormat="1" x14ac:dyDescent="0.25">
      <c r="A227" s="101"/>
      <c r="B227" s="103"/>
      <c r="D227" s="80"/>
      <c r="E227" s="80"/>
      <c r="F227" s="80"/>
      <c r="G227" s="80"/>
      <c r="H227" s="81"/>
      <c r="I227" s="81"/>
      <c r="J227" s="81"/>
      <c r="K227" s="81"/>
      <c r="L227" s="81"/>
      <c r="M227" s="81"/>
      <c r="N227" s="81"/>
      <c r="O227" s="100"/>
      <c r="P227" s="100"/>
      <c r="Q227" s="100"/>
      <c r="R227" s="100"/>
      <c r="S227" s="79"/>
      <c r="T227" s="77"/>
    </row>
    <row r="228" spans="1:20" s="76" customFormat="1" x14ac:dyDescent="0.25">
      <c r="A228" s="101"/>
      <c r="B228" s="103"/>
      <c r="D228" s="80"/>
      <c r="E228" s="80"/>
      <c r="F228" s="80"/>
      <c r="G228" s="80"/>
      <c r="H228" s="81"/>
      <c r="I228" s="81"/>
      <c r="J228" s="81"/>
      <c r="K228" s="81"/>
      <c r="L228" s="81"/>
      <c r="M228" s="81"/>
      <c r="N228" s="81"/>
      <c r="O228" s="100"/>
      <c r="P228" s="100"/>
      <c r="Q228" s="100"/>
      <c r="R228" s="100"/>
      <c r="S228" s="79"/>
      <c r="T228" s="77"/>
    </row>
    <row r="229" spans="1:20" s="76" customFormat="1" x14ac:dyDescent="0.25">
      <c r="A229" s="101"/>
      <c r="B229" s="103"/>
      <c r="D229" s="80"/>
      <c r="E229" s="80"/>
      <c r="F229" s="80"/>
      <c r="G229" s="80"/>
      <c r="H229" s="81"/>
      <c r="I229" s="81"/>
      <c r="J229" s="81"/>
      <c r="K229" s="81"/>
      <c r="L229" s="81"/>
      <c r="M229" s="81"/>
      <c r="N229" s="81"/>
      <c r="O229" s="100"/>
      <c r="P229" s="100"/>
      <c r="Q229" s="100"/>
      <c r="R229" s="100"/>
      <c r="S229" s="79"/>
      <c r="T229" s="77"/>
    </row>
    <row r="230" spans="1:20" s="76" customFormat="1" x14ac:dyDescent="0.25">
      <c r="A230" s="101"/>
      <c r="B230" s="103"/>
      <c r="D230" s="80"/>
      <c r="E230" s="80"/>
      <c r="F230" s="80"/>
      <c r="G230" s="80"/>
      <c r="H230" s="81"/>
      <c r="I230" s="81"/>
      <c r="J230" s="81"/>
      <c r="K230" s="81"/>
      <c r="L230" s="81"/>
      <c r="M230" s="81"/>
      <c r="N230" s="81"/>
      <c r="O230" s="100"/>
      <c r="P230" s="100"/>
      <c r="Q230" s="100"/>
      <c r="R230" s="100"/>
      <c r="S230" s="79"/>
      <c r="T230" s="77"/>
    </row>
    <row r="231" spans="1:20" s="76" customFormat="1" x14ac:dyDescent="0.25">
      <c r="A231" s="101"/>
      <c r="B231" s="103"/>
      <c r="D231" s="80"/>
      <c r="E231" s="80"/>
      <c r="F231" s="80"/>
      <c r="G231" s="80"/>
      <c r="H231" s="81"/>
      <c r="I231" s="81"/>
      <c r="J231" s="81"/>
      <c r="K231" s="81"/>
      <c r="L231" s="81"/>
      <c r="M231" s="81"/>
      <c r="N231" s="81"/>
      <c r="O231" s="100"/>
      <c r="P231" s="100"/>
      <c r="Q231" s="100"/>
      <c r="R231" s="100"/>
      <c r="S231" s="79"/>
      <c r="T231" s="77"/>
    </row>
    <row r="232" spans="1:20" s="76" customFormat="1" x14ac:dyDescent="0.25">
      <c r="A232" s="101"/>
      <c r="B232" s="103"/>
      <c r="D232" s="80"/>
      <c r="E232" s="80"/>
      <c r="F232" s="80"/>
      <c r="G232" s="80"/>
      <c r="H232" s="81"/>
      <c r="I232" s="81"/>
      <c r="J232" s="81"/>
      <c r="K232" s="81"/>
      <c r="L232" s="81"/>
      <c r="M232" s="81"/>
      <c r="N232" s="81"/>
      <c r="O232" s="100"/>
      <c r="P232" s="100"/>
      <c r="Q232" s="100"/>
      <c r="R232" s="100"/>
      <c r="S232" s="79"/>
      <c r="T232" s="77"/>
    </row>
    <row r="233" spans="1:20" s="76" customFormat="1" x14ac:dyDescent="0.25">
      <c r="A233" s="101"/>
      <c r="B233" s="103"/>
      <c r="D233" s="80"/>
      <c r="E233" s="80"/>
      <c r="F233" s="80"/>
      <c r="G233" s="80"/>
      <c r="H233" s="81"/>
      <c r="I233" s="81"/>
      <c r="J233" s="81"/>
      <c r="K233" s="81"/>
      <c r="L233" s="81"/>
      <c r="M233" s="81"/>
      <c r="N233" s="81"/>
      <c r="O233" s="100"/>
      <c r="P233" s="100"/>
      <c r="Q233" s="100"/>
      <c r="R233" s="100"/>
      <c r="S233" s="79"/>
      <c r="T233" s="77"/>
    </row>
    <row r="234" spans="1:20" s="76" customFormat="1" x14ac:dyDescent="0.25">
      <c r="A234" s="101"/>
      <c r="B234" s="103"/>
      <c r="D234" s="80"/>
      <c r="E234" s="80"/>
      <c r="F234" s="80"/>
      <c r="G234" s="80"/>
      <c r="H234" s="81"/>
      <c r="I234" s="81"/>
      <c r="J234" s="81"/>
      <c r="K234" s="81"/>
      <c r="L234" s="81"/>
      <c r="M234" s="81"/>
      <c r="N234" s="81"/>
      <c r="O234" s="100"/>
      <c r="P234" s="100"/>
      <c r="Q234" s="100"/>
      <c r="R234" s="100"/>
      <c r="S234" s="79"/>
      <c r="T234" s="77"/>
    </row>
    <row r="235" spans="1:20" s="76" customFormat="1" x14ac:dyDescent="0.25">
      <c r="A235" s="101"/>
      <c r="B235" s="103"/>
      <c r="D235" s="80"/>
      <c r="E235" s="80"/>
      <c r="F235" s="80"/>
      <c r="G235" s="80"/>
      <c r="H235" s="81"/>
      <c r="I235" s="81"/>
      <c r="J235" s="81"/>
      <c r="K235" s="81"/>
      <c r="L235" s="81"/>
      <c r="M235" s="81"/>
      <c r="N235" s="81"/>
      <c r="O235" s="100"/>
      <c r="P235" s="100"/>
      <c r="Q235" s="100"/>
      <c r="R235" s="100"/>
      <c r="S235" s="79"/>
      <c r="T235" s="77"/>
    </row>
    <row r="236" spans="1:20" s="76" customFormat="1" x14ac:dyDescent="0.25">
      <c r="A236" s="101"/>
      <c r="B236" s="103"/>
      <c r="D236" s="80"/>
      <c r="E236" s="80"/>
      <c r="F236" s="80"/>
      <c r="G236" s="80"/>
      <c r="H236" s="81"/>
      <c r="I236" s="81"/>
      <c r="J236" s="81"/>
      <c r="K236" s="81"/>
      <c r="L236" s="81"/>
      <c r="M236" s="81"/>
      <c r="N236" s="81"/>
      <c r="O236" s="100"/>
      <c r="P236" s="100"/>
      <c r="Q236" s="100"/>
      <c r="R236" s="100"/>
      <c r="S236" s="79"/>
      <c r="T236" s="77"/>
    </row>
    <row r="237" spans="1:20" s="76" customFormat="1" x14ac:dyDescent="0.25">
      <c r="A237" s="101"/>
      <c r="B237" s="103"/>
      <c r="D237" s="80"/>
      <c r="E237" s="80"/>
      <c r="F237" s="80"/>
      <c r="G237" s="80"/>
      <c r="H237" s="81"/>
      <c r="I237" s="81"/>
      <c r="J237" s="81"/>
      <c r="K237" s="81"/>
      <c r="L237" s="81"/>
      <c r="M237" s="81"/>
      <c r="N237" s="81"/>
      <c r="O237" s="100"/>
      <c r="P237" s="100"/>
      <c r="Q237" s="100"/>
      <c r="R237" s="100"/>
      <c r="S237" s="79"/>
      <c r="T237" s="77"/>
    </row>
    <row r="238" spans="1:20" s="76" customFormat="1" x14ac:dyDescent="0.25">
      <c r="A238" s="101"/>
      <c r="B238" s="103"/>
      <c r="D238" s="80"/>
      <c r="E238" s="80"/>
      <c r="F238" s="80"/>
      <c r="G238" s="80"/>
      <c r="H238" s="81"/>
      <c r="I238" s="81"/>
      <c r="J238" s="81"/>
      <c r="K238" s="81"/>
      <c r="L238" s="81"/>
      <c r="M238" s="81"/>
      <c r="N238" s="81"/>
      <c r="O238" s="100"/>
      <c r="P238" s="100"/>
      <c r="Q238" s="100"/>
      <c r="R238" s="100"/>
      <c r="S238" s="79"/>
      <c r="T238" s="77"/>
    </row>
    <row r="239" spans="1:20" s="76" customFormat="1" x14ac:dyDescent="0.25">
      <c r="A239" s="101"/>
      <c r="B239" s="103"/>
      <c r="D239" s="80"/>
      <c r="E239" s="80"/>
      <c r="F239" s="80"/>
      <c r="G239" s="80"/>
      <c r="H239" s="81"/>
      <c r="I239" s="81"/>
      <c r="J239" s="81"/>
      <c r="K239" s="81"/>
      <c r="L239" s="81"/>
      <c r="M239" s="81"/>
      <c r="N239" s="81"/>
      <c r="O239" s="100"/>
      <c r="P239" s="100"/>
      <c r="Q239" s="100"/>
      <c r="R239" s="100"/>
      <c r="S239" s="79"/>
      <c r="T239" s="77"/>
    </row>
    <row r="240" spans="1:20" s="76" customFormat="1" x14ac:dyDescent="0.25">
      <c r="A240" s="101"/>
      <c r="B240" s="103"/>
      <c r="D240" s="80"/>
      <c r="E240" s="80"/>
      <c r="F240" s="80"/>
      <c r="G240" s="80"/>
      <c r="H240" s="81"/>
      <c r="I240" s="81"/>
      <c r="J240" s="81"/>
      <c r="K240" s="81"/>
      <c r="L240" s="81"/>
      <c r="M240" s="81"/>
      <c r="N240" s="81"/>
      <c r="O240" s="100"/>
      <c r="P240" s="100"/>
      <c r="Q240" s="100"/>
      <c r="R240" s="100"/>
      <c r="S240" s="79"/>
      <c r="T240" s="77"/>
    </row>
    <row r="241" spans="1:20" s="76" customFormat="1" x14ac:dyDescent="0.25">
      <c r="A241" s="101"/>
      <c r="B241" s="103"/>
      <c r="D241" s="80"/>
      <c r="E241" s="80"/>
      <c r="F241" s="80"/>
      <c r="G241" s="80"/>
      <c r="H241" s="81"/>
      <c r="I241" s="81"/>
      <c r="J241" s="81"/>
      <c r="K241" s="81"/>
      <c r="L241" s="81"/>
      <c r="M241" s="81"/>
      <c r="N241" s="81"/>
      <c r="O241" s="100"/>
      <c r="P241" s="100"/>
      <c r="Q241" s="100"/>
      <c r="R241" s="100"/>
      <c r="S241" s="79"/>
      <c r="T241" s="77"/>
    </row>
    <row r="242" spans="1:20" s="76" customFormat="1" x14ac:dyDescent="0.25">
      <c r="A242" s="101"/>
      <c r="B242" s="103"/>
      <c r="D242" s="80"/>
      <c r="E242" s="80"/>
      <c r="F242" s="80"/>
      <c r="G242" s="80"/>
      <c r="H242" s="81"/>
      <c r="I242" s="81"/>
      <c r="J242" s="81"/>
      <c r="K242" s="81"/>
      <c r="L242" s="81"/>
      <c r="M242" s="81"/>
      <c r="N242" s="81"/>
      <c r="O242" s="100"/>
      <c r="P242" s="100"/>
      <c r="Q242" s="100"/>
      <c r="R242" s="100"/>
      <c r="S242" s="79"/>
      <c r="T242" s="77"/>
    </row>
    <row r="243" spans="1:20" s="76" customFormat="1" x14ac:dyDescent="0.25">
      <c r="A243" s="101"/>
      <c r="B243" s="103"/>
      <c r="D243" s="80"/>
      <c r="E243" s="80"/>
      <c r="F243" s="80"/>
      <c r="G243" s="80"/>
      <c r="H243" s="81"/>
      <c r="I243" s="81"/>
      <c r="J243" s="81"/>
      <c r="K243" s="81"/>
      <c r="L243" s="81"/>
      <c r="M243" s="81"/>
      <c r="N243" s="81"/>
      <c r="O243" s="100"/>
      <c r="P243" s="100"/>
      <c r="Q243" s="100"/>
      <c r="R243" s="100"/>
      <c r="S243" s="79"/>
      <c r="T243" s="77"/>
    </row>
    <row r="244" spans="1:20" s="76" customFormat="1" x14ac:dyDescent="0.25">
      <c r="A244" s="101"/>
      <c r="B244" s="103"/>
      <c r="D244" s="80"/>
      <c r="E244" s="80"/>
      <c r="F244" s="80"/>
      <c r="G244" s="80"/>
      <c r="H244" s="81"/>
      <c r="I244" s="81"/>
      <c r="J244" s="81"/>
      <c r="K244" s="81"/>
      <c r="L244" s="81"/>
      <c r="M244" s="81"/>
      <c r="N244" s="81"/>
      <c r="O244" s="100"/>
      <c r="P244" s="100"/>
      <c r="Q244" s="100"/>
      <c r="R244" s="100"/>
      <c r="S244" s="79"/>
      <c r="T244" s="77"/>
    </row>
    <row r="245" spans="1:20" s="76" customFormat="1" x14ac:dyDescent="0.25">
      <c r="A245" s="101"/>
      <c r="B245" s="103"/>
      <c r="D245" s="80"/>
      <c r="E245" s="80"/>
      <c r="F245" s="80"/>
      <c r="G245" s="80"/>
      <c r="H245" s="81"/>
      <c r="I245" s="81"/>
      <c r="J245" s="81"/>
      <c r="K245" s="81"/>
      <c r="L245" s="81"/>
      <c r="M245" s="81"/>
      <c r="N245" s="81"/>
      <c r="O245" s="100"/>
      <c r="P245" s="100"/>
      <c r="Q245" s="100"/>
      <c r="R245" s="100"/>
      <c r="S245" s="79"/>
      <c r="T245" s="77"/>
    </row>
    <row r="246" spans="1:20" s="76" customFormat="1" x14ac:dyDescent="0.25">
      <c r="A246" s="101"/>
      <c r="B246" s="103"/>
      <c r="D246" s="80"/>
      <c r="E246" s="80"/>
      <c r="F246" s="80"/>
      <c r="G246" s="80"/>
      <c r="H246" s="81"/>
      <c r="I246" s="81"/>
      <c r="J246" s="81"/>
      <c r="K246" s="81"/>
      <c r="L246" s="81"/>
      <c r="M246" s="81"/>
      <c r="N246" s="81"/>
      <c r="O246" s="100"/>
      <c r="P246" s="100"/>
      <c r="Q246" s="100"/>
      <c r="R246" s="100"/>
      <c r="S246" s="79"/>
      <c r="T246" s="77"/>
    </row>
    <row r="247" spans="1:20" s="76" customFormat="1" x14ac:dyDescent="0.25">
      <c r="A247" s="101"/>
      <c r="B247" s="103"/>
      <c r="D247" s="80"/>
      <c r="E247" s="80"/>
      <c r="F247" s="80"/>
      <c r="G247" s="80"/>
      <c r="H247" s="81"/>
      <c r="I247" s="81"/>
      <c r="J247" s="81"/>
      <c r="K247" s="81"/>
      <c r="L247" s="81"/>
      <c r="M247" s="81"/>
      <c r="N247" s="81"/>
      <c r="O247" s="100"/>
      <c r="P247" s="100"/>
      <c r="Q247" s="100"/>
      <c r="R247" s="100"/>
      <c r="S247" s="79"/>
      <c r="T247" s="77"/>
    </row>
    <row r="248" spans="1:20" s="76" customFormat="1" x14ac:dyDescent="0.25">
      <c r="A248" s="101"/>
      <c r="B248" s="103"/>
      <c r="D248" s="80"/>
      <c r="E248" s="80"/>
      <c r="F248" s="80"/>
      <c r="G248" s="80"/>
      <c r="H248" s="81"/>
      <c r="I248" s="81"/>
      <c r="J248" s="81"/>
      <c r="K248" s="81"/>
      <c r="L248" s="81"/>
      <c r="M248" s="81"/>
      <c r="N248" s="81"/>
      <c r="O248" s="100"/>
      <c r="P248" s="100"/>
      <c r="Q248" s="100"/>
      <c r="R248" s="100"/>
      <c r="S248" s="79"/>
      <c r="T248" s="77"/>
    </row>
    <row r="249" spans="1:20" s="76" customFormat="1" x14ac:dyDescent="0.25">
      <c r="A249" s="101"/>
      <c r="B249" s="103"/>
      <c r="D249" s="80"/>
      <c r="E249" s="80"/>
      <c r="F249" s="80"/>
      <c r="G249" s="80"/>
      <c r="H249" s="81"/>
      <c r="I249" s="81"/>
      <c r="J249" s="81"/>
      <c r="K249" s="81"/>
      <c r="L249" s="81"/>
      <c r="M249" s="81"/>
      <c r="N249" s="81"/>
      <c r="O249" s="100"/>
      <c r="P249" s="100"/>
      <c r="Q249" s="100"/>
      <c r="R249" s="100"/>
      <c r="S249" s="79"/>
      <c r="T249" s="77"/>
    </row>
    <row r="250" spans="1:20" s="76" customFormat="1" x14ac:dyDescent="0.25">
      <c r="A250" s="101"/>
      <c r="B250" s="103"/>
      <c r="D250" s="80"/>
      <c r="E250" s="80"/>
      <c r="F250" s="80"/>
      <c r="G250" s="80"/>
      <c r="H250" s="81"/>
      <c r="I250" s="81"/>
      <c r="J250" s="81"/>
      <c r="K250" s="81"/>
      <c r="L250" s="81"/>
      <c r="M250" s="81"/>
      <c r="N250" s="81"/>
      <c r="O250" s="100"/>
      <c r="P250" s="100"/>
      <c r="Q250" s="100"/>
      <c r="R250" s="100"/>
      <c r="S250" s="79"/>
      <c r="T250" s="77"/>
    </row>
    <row r="251" spans="1:20" s="76" customFormat="1" x14ac:dyDescent="0.25">
      <c r="A251" s="101"/>
      <c r="B251" s="103"/>
      <c r="D251" s="80"/>
      <c r="E251" s="80"/>
      <c r="F251" s="80"/>
      <c r="G251" s="80"/>
      <c r="H251" s="81"/>
      <c r="I251" s="81"/>
      <c r="J251" s="81"/>
      <c r="K251" s="81"/>
      <c r="L251" s="81"/>
      <c r="M251" s="81"/>
      <c r="N251" s="81"/>
      <c r="O251" s="100"/>
      <c r="P251" s="100"/>
      <c r="Q251" s="100"/>
      <c r="R251" s="100"/>
      <c r="S251" s="79"/>
      <c r="T251" s="77"/>
    </row>
    <row r="252" spans="1:20" s="76" customFormat="1" x14ac:dyDescent="0.25">
      <c r="A252" s="101"/>
      <c r="B252" s="103"/>
      <c r="D252" s="80"/>
      <c r="E252" s="80"/>
      <c r="F252" s="80"/>
      <c r="G252" s="80"/>
      <c r="H252" s="81"/>
      <c r="I252" s="81"/>
      <c r="J252" s="81"/>
      <c r="K252" s="81"/>
      <c r="L252" s="81"/>
      <c r="M252" s="81"/>
      <c r="N252" s="81"/>
      <c r="O252" s="100"/>
      <c r="P252" s="100"/>
      <c r="Q252" s="100"/>
      <c r="R252" s="100"/>
      <c r="S252" s="79"/>
      <c r="T252" s="77"/>
    </row>
    <row r="253" spans="1:20" s="76" customFormat="1" x14ac:dyDescent="0.25">
      <c r="A253" s="101"/>
      <c r="B253" s="103"/>
      <c r="D253" s="80"/>
      <c r="E253" s="80"/>
      <c r="F253" s="80"/>
      <c r="G253" s="80"/>
      <c r="H253" s="81"/>
      <c r="I253" s="81"/>
      <c r="J253" s="81"/>
      <c r="K253" s="81"/>
      <c r="L253" s="81"/>
      <c r="M253" s="81"/>
      <c r="N253" s="81"/>
      <c r="O253" s="100"/>
      <c r="P253" s="100"/>
      <c r="Q253" s="100"/>
      <c r="R253" s="100"/>
      <c r="S253" s="79"/>
      <c r="T253" s="77"/>
    </row>
    <row r="254" spans="1:20" s="76" customFormat="1" x14ac:dyDescent="0.25">
      <c r="A254" s="101"/>
      <c r="B254" s="103"/>
      <c r="D254" s="80"/>
      <c r="E254" s="80"/>
      <c r="F254" s="80"/>
      <c r="G254" s="80"/>
      <c r="H254" s="81"/>
      <c r="I254" s="81"/>
      <c r="J254" s="81"/>
      <c r="K254" s="81"/>
      <c r="L254" s="81"/>
      <c r="M254" s="81"/>
      <c r="N254" s="81"/>
      <c r="O254" s="100"/>
      <c r="P254" s="100"/>
      <c r="Q254" s="100"/>
      <c r="R254" s="100"/>
      <c r="S254" s="79"/>
      <c r="T254" s="77"/>
    </row>
    <row r="255" spans="1:20" s="76" customFormat="1" x14ac:dyDescent="0.25">
      <c r="A255" s="101"/>
      <c r="B255" s="103"/>
      <c r="D255" s="80"/>
      <c r="E255" s="80"/>
      <c r="F255" s="80"/>
      <c r="G255" s="80"/>
      <c r="H255" s="81"/>
      <c r="I255" s="81"/>
      <c r="J255" s="81"/>
      <c r="K255" s="81"/>
      <c r="L255" s="81"/>
      <c r="M255" s="81"/>
      <c r="N255" s="81"/>
      <c r="O255" s="100"/>
      <c r="P255" s="100"/>
      <c r="Q255" s="100"/>
      <c r="R255" s="100"/>
      <c r="S255" s="79"/>
      <c r="T255" s="77"/>
    </row>
    <row r="256" spans="1:20" s="76" customFormat="1" x14ac:dyDescent="0.25">
      <c r="A256" s="101"/>
      <c r="B256" s="103"/>
      <c r="D256" s="80"/>
      <c r="E256" s="80"/>
      <c r="F256" s="80"/>
      <c r="G256" s="80"/>
      <c r="H256" s="81"/>
      <c r="I256" s="81"/>
      <c r="J256" s="81"/>
      <c r="K256" s="81"/>
      <c r="L256" s="81"/>
      <c r="M256" s="81"/>
      <c r="N256" s="81"/>
      <c r="O256" s="100"/>
      <c r="P256" s="100"/>
      <c r="Q256" s="100"/>
      <c r="R256" s="100"/>
      <c r="S256" s="79"/>
      <c r="T256" s="77"/>
    </row>
    <row r="257" spans="1:20" s="76" customFormat="1" x14ac:dyDescent="0.25">
      <c r="A257" s="101"/>
      <c r="B257" s="103"/>
      <c r="D257" s="80"/>
      <c r="E257" s="80"/>
      <c r="F257" s="80"/>
      <c r="G257" s="80"/>
      <c r="H257" s="81"/>
      <c r="I257" s="81"/>
      <c r="J257" s="81"/>
      <c r="K257" s="81"/>
      <c r="L257" s="81"/>
      <c r="M257" s="81"/>
      <c r="N257" s="81"/>
      <c r="O257" s="100"/>
      <c r="P257" s="100"/>
      <c r="Q257" s="100"/>
      <c r="R257" s="100"/>
      <c r="S257" s="79"/>
      <c r="T257" s="77"/>
    </row>
    <row r="258" spans="1:20" s="76" customFormat="1" x14ac:dyDescent="0.25">
      <c r="A258" s="101"/>
      <c r="B258" s="103"/>
      <c r="D258" s="80"/>
      <c r="E258" s="80"/>
      <c r="F258" s="80"/>
      <c r="G258" s="80"/>
      <c r="H258" s="81"/>
      <c r="I258" s="81"/>
      <c r="J258" s="81"/>
      <c r="K258" s="81"/>
      <c r="L258" s="81"/>
      <c r="M258" s="81"/>
      <c r="N258" s="81"/>
      <c r="O258" s="100"/>
      <c r="P258" s="100"/>
      <c r="Q258" s="100"/>
      <c r="R258" s="100"/>
      <c r="S258" s="79"/>
      <c r="T258" s="77"/>
    </row>
    <row r="259" spans="1:20" s="76" customFormat="1" x14ac:dyDescent="0.25">
      <c r="A259" s="101"/>
      <c r="B259" s="103"/>
      <c r="D259" s="80"/>
      <c r="E259" s="80"/>
      <c r="F259" s="80"/>
      <c r="G259" s="80"/>
      <c r="H259" s="81"/>
      <c r="I259" s="81"/>
      <c r="J259" s="81"/>
      <c r="K259" s="81"/>
      <c r="L259" s="81"/>
      <c r="M259" s="81"/>
      <c r="N259" s="81"/>
      <c r="O259" s="100"/>
      <c r="P259" s="100"/>
      <c r="Q259" s="100"/>
      <c r="R259" s="100"/>
      <c r="S259" s="79"/>
      <c r="T259" s="77"/>
    </row>
    <row r="260" spans="1:20" s="76" customFormat="1" x14ac:dyDescent="0.25">
      <c r="A260" s="101"/>
      <c r="B260" s="103"/>
      <c r="D260" s="80"/>
      <c r="E260" s="80"/>
      <c r="F260" s="80"/>
      <c r="G260" s="80"/>
      <c r="H260" s="81"/>
      <c r="I260" s="81"/>
      <c r="J260" s="81"/>
      <c r="K260" s="81"/>
      <c r="L260" s="81"/>
      <c r="M260" s="81"/>
      <c r="N260" s="81"/>
      <c r="O260" s="100"/>
      <c r="P260" s="100"/>
      <c r="Q260" s="100"/>
      <c r="R260" s="100"/>
      <c r="S260" s="79"/>
      <c r="T260" s="77"/>
    </row>
    <row r="261" spans="1:20" s="76" customFormat="1" x14ac:dyDescent="0.25">
      <c r="A261" s="101"/>
      <c r="B261" s="103"/>
      <c r="D261" s="80"/>
      <c r="E261" s="80"/>
      <c r="F261" s="80"/>
      <c r="G261" s="80"/>
      <c r="H261" s="81"/>
      <c r="I261" s="81"/>
      <c r="J261" s="81"/>
      <c r="K261" s="81"/>
      <c r="L261" s="81"/>
      <c r="M261" s="81"/>
      <c r="N261" s="81"/>
      <c r="O261" s="100"/>
      <c r="P261" s="100"/>
      <c r="Q261" s="100"/>
      <c r="R261" s="100"/>
      <c r="S261" s="79"/>
      <c r="T261" s="77"/>
    </row>
    <row r="262" spans="1:20" s="76" customFormat="1" x14ac:dyDescent="0.25">
      <c r="A262" s="101"/>
      <c r="B262" s="103"/>
      <c r="D262" s="80"/>
      <c r="E262" s="80"/>
      <c r="F262" s="80"/>
      <c r="G262" s="80"/>
      <c r="H262" s="81"/>
      <c r="I262" s="81"/>
      <c r="J262" s="81"/>
      <c r="K262" s="81"/>
      <c r="L262" s="81"/>
      <c r="M262" s="81"/>
      <c r="N262" s="81"/>
      <c r="O262" s="100"/>
      <c r="P262" s="100"/>
      <c r="Q262" s="100"/>
      <c r="R262" s="100"/>
      <c r="S262" s="79"/>
      <c r="T262" s="77"/>
    </row>
    <row r="263" spans="1:20" s="76" customFormat="1" x14ac:dyDescent="0.25">
      <c r="A263" s="101"/>
      <c r="B263" s="103"/>
      <c r="D263" s="80"/>
      <c r="E263" s="80"/>
      <c r="F263" s="80"/>
      <c r="G263" s="80"/>
      <c r="H263" s="81"/>
      <c r="I263" s="81"/>
      <c r="J263" s="81"/>
      <c r="K263" s="81"/>
      <c r="L263" s="81"/>
      <c r="M263" s="81"/>
      <c r="N263" s="81"/>
      <c r="O263" s="100"/>
      <c r="P263" s="100"/>
      <c r="Q263" s="100"/>
      <c r="R263" s="100"/>
      <c r="S263" s="79"/>
      <c r="T263" s="77"/>
    </row>
    <row r="264" spans="1:20" s="76" customFormat="1" x14ac:dyDescent="0.25">
      <c r="A264" s="101"/>
      <c r="B264" s="103"/>
      <c r="D264" s="80"/>
      <c r="E264" s="80"/>
      <c r="F264" s="80"/>
      <c r="G264" s="80"/>
      <c r="H264" s="81"/>
      <c r="I264" s="81"/>
      <c r="J264" s="81"/>
      <c r="K264" s="81"/>
      <c r="L264" s="81"/>
      <c r="M264" s="81"/>
      <c r="N264" s="81"/>
      <c r="O264" s="100"/>
      <c r="P264" s="100"/>
      <c r="Q264" s="100"/>
      <c r="R264" s="100"/>
      <c r="S264" s="79"/>
      <c r="T264" s="77"/>
    </row>
    <row r="265" spans="1:20" s="76" customFormat="1" x14ac:dyDescent="0.25">
      <c r="A265" s="101"/>
      <c r="B265" s="103"/>
      <c r="D265" s="80"/>
      <c r="E265" s="80"/>
      <c r="F265" s="80"/>
      <c r="G265" s="80"/>
      <c r="H265" s="81"/>
      <c r="I265" s="81"/>
      <c r="J265" s="81"/>
      <c r="K265" s="81"/>
      <c r="L265" s="81"/>
      <c r="M265" s="81"/>
      <c r="N265" s="81"/>
      <c r="O265" s="100"/>
      <c r="P265" s="100"/>
      <c r="Q265" s="100"/>
      <c r="R265" s="100"/>
      <c r="S265" s="79"/>
      <c r="T265" s="77"/>
    </row>
    <row r="266" spans="1:20" s="76" customFormat="1" x14ac:dyDescent="0.25">
      <c r="A266" s="101"/>
      <c r="B266" s="103"/>
      <c r="D266" s="80"/>
      <c r="E266" s="80"/>
      <c r="F266" s="80"/>
      <c r="G266" s="80"/>
      <c r="H266" s="81"/>
      <c r="I266" s="81"/>
      <c r="J266" s="81"/>
      <c r="K266" s="81"/>
      <c r="L266" s="81"/>
      <c r="M266" s="81"/>
      <c r="N266" s="81"/>
      <c r="O266" s="100"/>
      <c r="P266" s="100"/>
      <c r="Q266" s="100"/>
      <c r="R266" s="100"/>
      <c r="S266" s="79"/>
      <c r="T266" s="77"/>
    </row>
    <row r="267" spans="1:20" s="76" customFormat="1" x14ac:dyDescent="0.25">
      <c r="A267" s="101"/>
      <c r="B267" s="103"/>
      <c r="D267" s="80"/>
      <c r="E267" s="80"/>
      <c r="F267" s="80"/>
      <c r="G267" s="80"/>
      <c r="H267" s="81"/>
      <c r="I267" s="81"/>
      <c r="J267" s="81"/>
      <c r="K267" s="81"/>
      <c r="L267" s="81"/>
      <c r="M267" s="81"/>
      <c r="N267" s="81"/>
      <c r="O267" s="100"/>
      <c r="P267" s="100"/>
      <c r="Q267" s="100"/>
      <c r="R267" s="100"/>
      <c r="S267" s="79"/>
      <c r="T267" s="77"/>
    </row>
    <row r="268" spans="1:20" s="76" customFormat="1" x14ac:dyDescent="0.25">
      <c r="A268" s="101"/>
      <c r="B268" s="103"/>
      <c r="D268" s="80"/>
      <c r="E268" s="80"/>
      <c r="F268" s="80"/>
      <c r="G268" s="80"/>
      <c r="H268" s="81"/>
      <c r="I268" s="81"/>
      <c r="J268" s="81"/>
      <c r="K268" s="81"/>
      <c r="L268" s="81"/>
      <c r="M268" s="81"/>
      <c r="N268" s="81"/>
      <c r="O268" s="100"/>
      <c r="P268" s="100"/>
      <c r="Q268" s="100"/>
      <c r="R268" s="100"/>
      <c r="S268" s="79"/>
      <c r="T268" s="77"/>
    </row>
    <row r="269" spans="1:20" s="76" customFormat="1" x14ac:dyDescent="0.25">
      <c r="A269" s="101"/>
      <c r="B269" s="103"/>
      <c r="D269" s="80"/>
      <c r="E269" s="80"/>
      <c r="F269" s="80"/>
      <c r="G269" s="80"/>
      <c r="H269" s="81"/>
      <c r="I269" s="81"/>
      <c r="J269" s="81"/>
      <c r="K269" s="81"/>
      <c r="L269" s="81"/>
      <c r="M269" s="81"/>
      <c r="N269" s="81"/>
      <c r="O269" s="100"/>
      <c r="P269" s="100"/>
      <c r="Q269" s="100"/>
      <c r="R269" s="100"/>
      <c r="S269" s="79"/>
      <c r="T269" s="77"/>
    </row>
    <row r="270" spans="1:20" s="76" customFormat="1" x14ac:dyDescent="0.25">
      <c r="A270" s="101"/>
      <c r="B270" s="103"/>
      <c r="D270" s="80"/>
      <c r="E270" s="80"/>
      <c r="F270" s="80"/>
      <c r="G270" s="80"/>
      <c r="H270" s="81"/>
      <c r="I270" s="81"/>
      <c r="J270" s="81"/>
      <c r="K270" s="81"/>
      <c r="L270" s="81"/>
      <c r="M270" s="81"/>
      <c r="N270" s="81"/>
      <c r="O270" s="100"/>
      <c r="P270" s="100"/>
      <c r="Q270" s="100"/>
      <c r="R270" s="100"/>
      <c r="S270" s="79"/>
      <c r="T270" s="77"/>
    </row>
    <row r="271" spans="1:20" s="76" customFormat="1" x14ac:dyDescent="0.25">
      <c r="A271" s="101"/>
      <c r="B271" s="103"/>
      <c r="D271" s="80"/>
      <c r="E271" s="80"/>
      <c r="F271" s="80"/>
      <c r="G271" s="80"/>
      <c r="H271" s="81"/>
      <c r="I271" s="81"/>
      <c r="J271" s="81"/>
      <c r="K271" s="81"/>
      <c r="L271" s="81"/>
      <c r="M271" s="81"/>
      <c r="N271" s="81"/>
      <c r="O271" s="100"/>
      <c r="P271" s="100"/>
      <c r="Q271" s="100"/>
      <c r="R271" s="100"/>
      <c r="S271" s="79"/>
      <c r="T271" s="77"/>
    </row>
    <row r="272" spans="1:20" s="76" customFormat="1" x14ac:dyDescent="0.25">
      <c r="A272" s="101"/>
      <c r="B272" s="103"/>
      <c r="D272" s="80"/>
      <c r="E272" s="80"/>
      <c r="F272" s="80"/>
      <c r="G272" s="80"/>
      <c r="H272" s="81"/>
      <c r="I272" s="81"/>
      <c r="J272" s="81"/>
      <c r="K272" s="81"/>
      <c r="L272" s="81"/>
      <c r="M272" s="81"/>
      <c r="N272" s="81"/>
      <c r="O272" s="100"/>
      <c r="P272" s="100"/>
      <c r="Q272" s="100"/>
      <c r="R272" s="100"/>
      <c r="S272" s="79"/>
      <c r="T272" s="77"/>
    </row>
    <row r="273" spans="1:20" s="76" customFormat="1" x14ac:dyDescent="0.25">
      <c r="A273" s="101"/>
      <c r="B273" s="103"/>
      <c r="D273" s="80"/>
      <c r="E273" s="80"/>
      <c r="F273" s="80"/>
      <c r="G273" s="80"/>
      <c r="H273" s="81"/>
      <c r="I273" s="81"/>
      <c r="J273" s="81"/>
      <c r="K273" s="81"/>
      <c r="L273" s="81"/>
      <c r="M273" s="81"/>
      <c r="N273" s="81"/>
      <c r="O273" s="100"/>
      <c r="P273" s="100"/>
      <c r="Q273" s="100"/>
      <c r="R273" s="100"/>
      <c r="S273" s="79"/>
      <c r="T273" s="77"/>
    </row>
    <row r="274" spans="1:20" s="76" customFormat="1" x14ac:dyDescent="0.25">
      <c r="A274" s="101"/>
      <c r="B274" s="103"/>
      <c r="D274" s="80"/>
      <c r="E274" s="80"/>
      <c r="F274" s="80"/>
      <c r="G274" s="80"/>
      <c r="H274" s="81"/>
      <c r="I274" s="81"/>
      <c r="J274" s="81"/>
      <c r="K274" s="81"/>
      <c r="L274" s="81"/>
      <c r="M274" s="81"/>
      <c r="N274" s="81"/>
      <c r="O274" s="100"/>
      <c r="P274" s="100"/>
      <c r="Q274" s="100"/>
      <c r="R274" s="100"/>
      <c r="S274" s="79"/>
      <c r="T274" s="77"/>
    </row>
    <row r="275" spans="1:20" s="76" customFormat="1" x14ac:dyDescent="0.25">
      <c r="A275" s="101"/>
      <c r="B275" s="103"/>
      <c r="D275" s="80"/>
      <c r="E275" s="80"/>
      <c r="F275" s="80"/>
      <c r="G275" s="80"/>
      <c r="H275" s="81"/>
      <c r="I275" s="81"/>
      <c r="J275" s="81"/>
      <c r="K275" s="81"/>
      <c r="L275" s="81"/>
      <c r="M275" s="81"/>
      <c r="N275" s="81"/>
      <c r="O275" s="100"/>
      <c r="P275" s="100"/>
      <c r="Q275" s="100"/>
      <c r="R275" s="100"/>
      <c r="S275" s="79"/>
      <c r="T275" s="77"/>
    </row>
    <row r="276" spans="1:20" s="76" customFormat="1" x14ac:dyDescent="0.25">
      <c r="A276" s="101"/>
      <c r="B276" s="103"/>
      <c r="D276" s="80"/>
      <c r="E276" s="80"/>
      <c r="F276" s="80"/>
      <c r="G276" s="80"/>
      <c r="H276" s="81"/>
      <c r="I276" s="81"/>
      <c r="J276" s="81"/>
      <c r="K276" s="81"/>
      <c r="L276" s="81"/>
      <c r="M276" s="81"/>
      <c r="N276" s="81"/>
      <c r="O276" s="100"/>
      <c r="P276" s="100"/>
      <c r="Q276" s="100"/>
      <c r="R276" s="100"/>
      <c r="S276" s="79"/>
      <c r="T276" s="77"/>
    </row>
    <row r="277" spans="1:20" s="76" customFormat="1" x14ac:dyDescent="0.25">
      <c r="A277" s="101"/>
      <c r="B277" s="103"/>
      <c r="D277" s="80"/>
      <c r="E277" s="80"/>
      <c r="F277" s="80"/>
      <c r="G277" s="80"/>
      <c r="H277" s="81"/>
      <c r="I277" s="81"/>
      <c r="J277" s="81"/>
      <c r="K277" s="81"/>
      <c r="L277" s="81"/>
      <c r="M277" s="81"/>
      <c r="N277" s="81"/>
      <c r="O277" s="100"/>
      <c r="P277" s="100"/>
      <c r="Q277" s="100"/>
      <c r="R277" s="100"/>
      <c r="S277" s="79"/>
      <c r="T277" s="77"/>
    </row>
    <row r="278" spans="1:20" s="76" customFormat="1" x14ac:dyDescent="0.25">
      <c r="A278" s="101"/>
      <c r="B278" s="103"/>
      <c r="D278" s="80"/>
      <c r="E278" s="80"/>
      <c r="F278" s="80"/>
      <c r="G278" s="80"/>
      <c r="H278" s="81"/>
      <c r="I278" s="81"/>
      <c r="J278" s="81"/>
      <c r="K278" s="81"/>
      <c r="L278" s="81"/>
      <c r="M278" s="81"/>
      <c r="N278" s="81"/>
      <c r="O278" s="100"/>
      <c r="P278" s="100"/>
      <c r="Q278" s="100"/>
      <c r="R278" s="100"/>
      <c r="S278" s="79"/>
      <c r="T278" s="77"/>
    </row>
    <row r="279" spans="1:20" s="76" customFormat="1" x14ac:dyDescent="0.25">
      <c r="A279" s="101"/>
      <c r="B279" s="103"/>
      <c r="D279" s="80"/>
      <c r="E279" s="80"/>
      <c r="F279" s="80"/>
      <c r="G279" s="80"/>
      <c r="H279" s="81"/>
      <c r="I279" s="81"/>
      <c r="J279" s="81"/>
      <c r="K279" s="81"/>
      <c r="L279" s="81"/>
      <c r="M279" s="81"/>
      <c r="N279" s="81"/>
      <c r="O279" s="100"/>
      <c r="P279" s="100"/>
      <c r="Q279" s="100"/>
      <c r="R279" s="100"/>
      <c r="S279" s="79"/>
      <c r="T279" s="77"/>
    </row>
    <row r="280" spans="1:20" s="76" customFormat="1" x14ac:dyDescent="0.25">
      <c r="A280" s="101"/>
      <c r="B280" s="103"/>
      <c r="D280" s="80"/>
      <c r="E280" s="80"/>
      <c r="F280" s="80"/>
      <c r="G280" s="80"/>
      <c r="H280" s="81"/>
      <c r="I280" s="81"/>
      <c r="J280" s="81"/>
      <c r="K280" s="81"/>
      <c r="L280" s="81"/>
      <c r="M280" s="81"/>
      <c r="N280" s="81"/>
      <c r="O280" s="100"/>
      <c r="P280" s="100"/>
      <c r="Q280" s="100"/>
      <c r="R280" s="100"/>
      <c r="S280" s="79"/>
      <c r="T280" s="77"/>
    </row>
    <row r="281" spans="1:20" s="76" customFormat="1" x14ac:dyDescent="0.25">
      <c r="A281" s="101"/>
      <c r="B281" s="103"/>
      <c r="D281" s="80"/>
      <c r="E281" s="80"/>
      <c r="F281" s="80"/>
      <c r="G281" s="80"/>
      <c r="H281" s="81"/>
      <c r="I281" s="81"/>
      <c r="J281" s="81"/>
      <c r="K281" s="81"/>
      <c r="L281" s="81"/>
      <c r="M281" s="81"/>
      <c r="N281" s="81"/>
      <c r="O281" s="100"/>
      <c r="P281" s="100"/>
      <c r="Q281" s="100"/>
      <c r="R281" s="100"/>
      <c r="S281" s="79"/>
      <c r="T281" s="77"/>
    </row>
    <row r="282" spans="1:20" s="76" customFormat="1" x14ac:dyDescent="0.25">
      <c r="A282" s="101"/>
      <c r="B282" s="103"/>
      <c r="D282" s="80"/>
      <c r="E282" s="80"/>
      <c r="F282" s="80"/>
      <c r="G282" s="80"/>
      <c r="H282" s="81"/>
      <c r="I282" s="81"/>
      <c r="J282" s="81"/>
      <c r="K282" s="81"/>
      <c r="L282" s="81"/>
      <c r="M282" s="81"/>
      <c r="N282" s="81"/>
      <c r="O282" s="100"/>
      <c r="P282" s="100"/>
      <c r="Q282" s="100"/>
      <c r="R282" s="100"/>
      <c r="S282" s="79"/>
      <c r="T282" s="77"/>
    </row>
  </sheetData>
  <sheetProtection password="F86B" sheet="1" formatCells="0" formatColumns="0" formatRows="0"/>
  <mergeCells count="144">
    <mergeCell ref="A4:C4"/>
    <mergeCell ref="K22:S22"/>
    <mergeCell ref="B26:E26"/>
    <mergeCell ref="B22:E22"/>
    <mergeCell ref="T5:V5"/>
    <mergeCell ref="J5:J7"/>
    <mergeCell ref="J10:J14"/>
    <mergeCell ref="K10:K14"/>
    <mergeCell ref="K5:K7"/>
    <mergeCell ref="M5:M7"/>
    <mergeCell ref="L10:L14"/>
    <mergeCell ref="M10:M14"/>
    <mergeCell ref="J9:K9"/>
    <mergeCell ref="L9:M9"/>
    <mergeCell ref="B19:E19"/>
    <mergeCell ref="B13:E13"/>
    <mergeCell ref="O10:O14"/>
    <mergeCell ref="N9:N10"/>
    <mergeCell ref="N11:N14"/>
    <mergeCell ref="B16:E16"/>
    <mergeCell ref="J4:M4"/>
    <mergeCell ref="B9:E9"/>
    <mergeCell ref="B11:E11"/>
    <mergeCell ref="B5:E5"/>
    <mergeCell ref="B6:E6"/>
    <mergeCell ref="L5:L7"/>
    <mergeCell ref="Z45:AA45"/>
    <mergeCell ref="T44:AE44"/>
    <mergeCell ref="T45:U45"/>
    <mergeCell ref="V45:W45"/>
    <mergeCell ref="X45:Y45"/>
    <mergeCell ref="AB45:AC45"/>
    <mergeCell ref="AD45:AE45"/>
    <mergeCell ref="O30:T30"/>
    <mergeCell ref="R38:S38"/>
    <mergeCell ref="N28:O28"/>
    <mergeCell ref="N29:O29"/>
    <mergeCell ref="L38:M38"/>
    <mergeCell ref="A38:A39"/>
    <mergeCell ref="B33:E33"/>
    <mergeCell ref="J38:K38"/>
    <mergeCell ref="A30:C30"/>
    <mergeCell ref="N38:Q38"/>
    <mergeCell ref="G1:H1"/>
    <mergeCell ref="D1:F1"/>
    <mergeCell ref="A3:I3"/>
    <mergeCell ref="B23:E23"/>
    <mergeCell ref="B35:E35"/>
    <mergeCell ref="H38:I38"/>
    <mergeCell ref="B1:C1"/>
    <mergeCell ref="B21:E21"/>
    <mergeCell ref="F38:G38"/>
    <mergeCell ref="B28:E28"/>
    <mergeCell ref="B27:E27"/>
    <mergeCell ref="B31:E31"/>
    <mergeCell ref="B36:E36"/>
    <mergeCell ref="B32:E32"/>
    <mergeCell ref="B29:E29"/>
    <mergeCell ref="B34:E34"/>
    <mergeCell ref="B25:E25"/>
    <mergeCell ref="B15:E15"/>
    <mergeCell ref="B18:E18"/>
    <mergeCell ref="B7:E7"/>
    <mergeCell ref="B8:E8"/>
    <mergeCell ref="B47:C47"/>
    <mergeCell ref="B43:C43"/>
    <mergeCell ref="D38:E38"/>
    <mergeCell ref="B20:E20"/>
    <mergeCell ref="B24:E24"/>
    <mergeCell ref="B49:C49"/>
    <mergeCell ref="B44:C44"/>
    <mergeCell ref="B50:C50"/>
    <mergeCell ref="B38:C39"/>
    <mergeCell ref="B41:C41"/>
    <mergeCell ref="B42:C42"/>
    <mergeCell ref="B40:C40"/>
    <mergeCell ref="B48:C48"/>
    <mergeCell ref="B45:C45"/>
    <mergeCell ref="B46:C46"/>
    <mergeCell ref="B54:C54"/>
    <mergeCell ref="B51:C51"/>
    <mergeCell ref="B52:C52"/>
    <mergeCell ref="B62:C62"/>
    <mergeCell ref="B61:C61"/>
    <mergeCell ref="B58:C58"/>
    <mergeCell ref="B59:C59"/>
    <mergeCell ref="B53:C53"/>
    <mergeCell ref="B55:C55"/>
    <mergeCell ref="B57:C57"/>
    <mergeCell ref="A128:T132"/>
    <mergeCell ref="A108:T112"/>
    <mergeCell ref="A113:T117"/>
    <mergeCell ref="B107:D107"/>
    <mergeCell ref="B104:D104"/>
    <mergeCell ref="B106:D106"/>
    <mergeCell ref="B105:D105"/>
    <mergeCell ref="A123:T127"/>
    <mergeCell ref="A118:T122"/>
    <mergeCell ref="B73:C73"/>
    <mergeCell ref="B74:C74"/>
    <mergeCell ref="B103:D103"/>
    <mergeCell ref="B86:C86"/>
    <mergeCell ref="B87:C87"/>
    <mergeCell ref="B90:C90"/>
    <mergeCell ref="B92:C92"/>
    <mergeCell ref="B101:D101"/>
    <mergeCell ref="B100:D100"/>
    <mergeCell ref="B102:D102"/>
    <mergeCell ref="B93:C93"/>
    <mergeCell ref="B94:C94"/>
    <mergeCell ref="B95:C95"/>
    <mergeCell ref="B96:C96"/>
    <mergeCell ref="A98:D98"/>
    <mergeCell ref="B99:D99"/>
    <mergeCell ref="B89:C89"/>
    <mergeCell ref="B91:C91"/>
    <mergeCell ref="B75:C75"/>
    <mergeCell ref="B72:C72"/>
    <mergeCell ref="B10:E10"/>
    <mergeCell ref="B12:E12"/>
    <mergeCell ref="B14:E14"/>
    <mergeCell ref="B17:E17"/>
    <mergeCell ref="B82:C82"/>
    <mergeCell ref="B83:C83"/>
    <mergeCell ref="B88:C88"/>
    <mergeCell ref="B60:C60"/>
    <mergeCell ref="B56:C56"/>
    <mergeCell ref="B77:C77"/>
    <mergeCell ref="B78:C78"/>
    <mergeCell ref="B67:C67"/>
    <mergeCell ref="B68:C68"/>
    <mergeCell ref="B69:C69"/>
    <mergeCell ref="B64:C64"/>
    <mergeCell ref="B66:C66"/>
    <mergeCell ref="B85:C85"/>
    <mergeCell ref="B63:C63"/>
    <mergeCell ref="B71:C71"/>
    <mergeCell ref="B81:C81"/>
    <mergeCell ref="B65:C65"/>
    <mergeCell ref="B76:C76"/>
    <mergeCell ref="B70:C70"/>
    <mergeCell ref="B80:C80"/>
    <mergeCell ref="B84:C84"/>
    <mergeCell ref="B79:C79"/>
  </mergeCells>
  <conditionalFormatting sqref="D63:E63 H63:M63 R63 H57:M61 R57:R61 D49:E61 F30:I36 H26 H9:H10 F7:I8 F9:G29 I9:I29 R62:S62 H12:H16 D62:N62">
    <cfRule type="cellIs" dxfId="376" priority="170" operator="lessThan">
      <formula>0</formula>
    </cfRule>
  </conditionalFormatting>
  <conditionalFormatting sqref="D64:E69 D48:E48 D70:N70 D43:E45 D75:N75 D76:E87 D97:S97 D96 H64:J67 D88:J89 L91:M91 H76:M76 H79:J87 D90:E91 D92:N92 R76 D93:E94 H91:J91 H90:M90 D71:J74 H68:N69 L64:N67 R90:R91 K79:N89 H77:N78 S91 D46:N47 L71:N74 R77:S89 D41:S42 R46:S47 F96:S96 P95 R64:S75 R92:S95 D95:G95 H93:N95">
    <cfRule type="cellIs" dxfId="375" priority="169" operator="lessThan">
      <formula>0</formula>
    </cfRule>
  </conditionalFormatting>
  <conditionalFormatting sqref="J15">
    <cfRule type="containsText" dxfId="374" priority="157" stopIfTrue="1" operator="containsText" text="ПОМИЛКА">
      <formula>NOT(ISERROR(SEARCH("ПОМИЛКА",J15)))</formula>
    </cfRule>
    <cfRule type="containsText" dxfId="373" priority="158" stopIfTrue="1" operator="containsText" text="Увага">
      <formula>NOT(ISERROR(SEARCH("Увага",J15)))</formula>
    </cfRule>
    <cfRule type="containsText" dxfId="372" priority="159" stopIfTrue="1" operator="containsText" text="ПРАВДА">
      <formula>NOT(ISERROR(SEARCH("ПРАВДА",J15)))</formula>
    </cfRule>
  </conditionalFormatting>
  <conditionalFormatting sqref="K15">
    <cfRule type="containsText" dxfId="371" priority="154" stopIfTrue="1" operator="containsText" text="ПОМИЛКА">
      <formula>NOT(ISERROR(SEARCH("ПОМИЛКА",K15)))</formula>
    </cfRule>
    <cfRule type="containsText" dxfId="370" priority="155" stopIfTrue="1" operator="containsText" text="Увага">
      <formula>NOT(ISERROR(SEARCH("Увага",K15)))</formula>
    </cfRule>
    <cfRule type="containsText" dxfId="369" priority="156" stopIfTrue="1" operator="containsText" text="ПРАВДА">
      <formula>NOT(ISERROR(SEARCH("ПРАВДА",K15)))</formula>
    </cfRule>
  </conditionalFormatting>
  <conditionalFormatting sqref="J8">
    <cfRule type="containsText" dxfId="368" priority="151" stopIfTrue="1" operator="containsText" text="ПОМИЛКА">
      <formula>NOT(ISERROR(SEARCH("ПОМИЛКА",J8)))</formula>
    </cfRule>
    <cfRule type="containsText" dxfId="367" priority="152" stopIfTrue="1" operator="containsText" text="Увага">
      <formula>NOT(ISERROR(SEARCH("Увага",J8)))</formula>
    </cfRule>
    <cfRule type="containsText" dxfId="366" priority="153" stopIfTrue="1" operator="containsText" text="ПРАВДА">
      <formula>NOT(ISERROR(SEARCH("ПРАВДА",J8)))</formula>
    </cfRule>
  </conditionalFormatting>
  <conditionalFormatting sqref="L8">
    <cfRule type="containsText" dxfId="365" priority="148" stopIfTrue="1" operator="containsText" text="ПОМИЛКА">
      <formula>NOT(ISERROR(SEARCH("ПОМИЛКА",L8)))</formula>
    </cfRule>
    <cfRule type="containsText" dxfId="364" priority="149" stopIfTrue="1" operator="containsText" text="Увага">
      <formula>NOT(ISERROR(SEARCH("Увага",L8)))</formula>
    </cfRule>
    <cfRule type="containsText" dxfId="363" priority="150" stopIfTrue="1" operator="containsText" text="ПРАВДА">
      <formula>NOT(ISERROR(SEARCH("ПРАВДА",L8)))</formula>
    </cfRule>
  </conditionalFormatting>
  <conditionalFormatting sqref="K8">
    <cfRule type="containsText" dxfId="362" priority="145" stopIfTrue="1" operator="containsText" text="ПОМИЛКА">
      <formula>NOT(ISERROR(SEARCH("ПОМИЛКА",K8)))</formula>
    </cfRule>
    <cfRule type="containsText" dxfId="361" priority="146" stopIfTrue="1" operator="containsText" text="Увага">
      <formula>NOT(ISERROR(SEARCH("Увага",K8)))</formula>
    </cfRule>
    <cfRule type="containsText" dxfId="360" priority="147" stopIfTrue="1" operator="containsText" text="ПРАВДА">
      <formula>NOT(ISERROR(SEARCH("ПРАВДА",K8)))</formula>
    </cfRule>
  </conditionalFormatting>
  <conditionalFormatting sqref="M8">
    <cfRule type="containsText" dxfId="359" priority="142" stopIfTrue="1" operator="containsText" text="ПОМИЛКА">
      <formula>NOT(ISERROR(SEARCH("ПОМИЛКА",M8)))</formula>
    </cfRule>
    <cfRule type="containsText" dxfId="358" priority="143" stopIfTrue="1" operator="containsText" text="Увага">
      <formula>NOT(ISERROR(SEARCH("Увага",M8)))</formula>
    </cfRule>
    <cfRule type="containsText" dxfId="357" priority="144" stopIfTrue="1" operator="containsText" text="ПРАВДА">
      <formula>NOT(ISERROR(SEARCH("ПРАВДА",M8)))</formula>
    </cfRule>
  </conditionalFormatting>
  <conditionalFormatting sqref="F63:G69">
    <cfRule type="cellIs" dxfId="356" priority="135" operator="lessThan">
      <formula>0</formula>
    </cfRule>
  </conditionalFormatting>
  <conditionalFormatting sqref="E96">
    <cfRule type="cellIs" dxfId="355" priority="130" operator="lessThan">
      <formula>0</formula>
    </cfRule>
  </conditionalFormatting>
  <conditionalFormatting sqref="K64:K67">
    <cfRule type="cellIs" dxfId="354" priority="129" operator="lessThan">
      <formula>0</formula>
    </cfRule>
  </conditionalFormatting>
  <conditionalFormatting sqref="K71:K74">
    <cfRule type="cellIs" dxfId="353" priority="128" operator="lessThan">
      <formula>0</formula>
    </cfRule>
  </conditionalFormatting>
  <conditionalFormatting sqref="K91">
    <cfRule type="cellIs" dxfId="352" priority="127" operator="lessThan">
      <formula>0</formula>
    </cfRule>
  </conditionalFormatting>
  <conditionalFormatting sqref="S57:S61">
    <cfRule type="cellIs" dxfId="351" priority="122" operator="lessThan">
      <formula>0</formula>
    </cfRule>
  </conditionalFormatting>
  <conditionalFormatting sqref="S63">
    <cfRule type="cellIs" dxfId="350" priority="121" operator="lessThan">
      <formula>0</formula>
    </cfRule>
  </conditionalFormatting>
  <conditionalFormatting sqref="S76 S90">
    <cfRule type="cellIs" dxfId="349" priority="119" operator="lessThan">
      <formula>0</formula>
    </cfRule>
  </conditionalFormatting>
  <conditionalFormatting sqref="H43:N45 R43:S45">
    <cfRule type="cellIs" dxfId="348" priority="113" operator="lessThan">
      <formula>0</formula>
    </cfRule>
  </conditionalFormatting>
  <conditionalFormatting sqref="J48:M53 H54:M56 R48:S56">
    <cfRule type="cellIs" dxfId="347" priority="112" operator="lessThan">
      <formula>0</formula>
    </cfRule>
  </conditionalFormatting>
  <conditionalFormatting sqref="H48:I53">
    <cfRule type="cellIs" dxfId="346" priority="111" operator="lessThan">
      <formula>0</formula>
    </cfRule>
  </conditionalFormatting>
  <conditionalFormatting sqref="H23:H25">
    <cfRule type="cellIs" dxfId="345" priority="106" operator="lessThan">
      <formula>0</formula>
    </cfRule>
  </conditionalFormatting>
  <conditionalFormatting sqref="N48:N59 Q48:Q61 Q69:Q70 Q73:Q74">
    <cfRule type="cellIs" dxfId="344" priority="99" operator="lessThan">
      <formula>0</formula>
    </cfRule>
  </conditionalFormatting>
  <conditionalFormatting sqref="N60:N61">
    <cfRule type="cellIs" dxfId="343" priority="96" operator="lessThan">
      <formula>0</formula>
    </cfRule>
  </conditionalFormatting>
  <conditionalFormatting sqref="N63">
    <cfRule type="cellIs" dxfId="342" priority="95" operator="lessThan">
      <formula>0</formula>
    </cfRule>
  </conditionalFormatting>
  <conditionalFormatting sqref="N90">
    <cfRule type="cellIs" dxfId="341" priority="93" operator="lessThan">
      <formula>0</formula>
    </cfRule>
  </conditionalFormatting>
  <conditionalFormatting sqref="N76">
    <cfRule type="cellIs" dxfId="340" priority="91" operator="lessThan">
      <formula>0</formula>
    </cfRule>
  </conditionalFormatting>
  <conditionalFormatting sqref="N91">
    <cfRule type="cellIs" dxfId="339" priority="89" operator="lessThan">
      <formula>0</formula>
    </cfRule>
  </conditionalFormatting>
  <conditionalFormatting sqref="F93:G94">
    <cfRule type="cellIs" dxfId="338" priority="85" operator="lessThan">
      <formula>0</formula>
    </cfRule>
  </conditionalFormatting>
  <conditionalFormatting sqref="F90:G90">
    <cfRule type="cellIs" dxfId="337" priority="83" operator="lessThan">
      <formula>0</formula>
    </cfRule>
  </conditionalFormatting>
  <conditionalFormatting sqref="F91:G91">
    <cfRule type="cellIs" dxfId="336" priority="82" operator="lessThan">
      <formula>0</formula>
    </cfRule>
  </conditionalFormatting>
  <conditionalFormatting sqref="F76:F86 G81:G86">
    <cfRule type="cellIs" dxfId="335" priority="81" operator="lessThan">
      <formula>0</formula>
    </cfRule>
  </conditionalFormatting>
  <conditionalFormatting sqref="F87:G87">
    <cfRule type="cellIs" dxfId="334" priority="80" operator="lessThan">
      <formula>0</formula>
    </cfRule>
  </conditionalFormatting>
  <conditionalFormatting sqref="H29">
    <cfRule type="cellIs" dxfId="333" priority="70" operator="lessThan">
      <formula>0</formula>
    </cfRule>
  </conditionalFormatting>
  <conditionalFormatting sqref="E101:H107">
    <cfRule type="cellIs" dxfId="332" priority="66" operator="lessThan">
      <formula>0</formula>
    </cfRule>
  </conditionalFormatting>
  <conditionalFormatting sqref="S29">
    <cfRule type="containsText" dxfId="331" priority="62" stopIfTrue="1" operator="containsText" text="ПОМИЛКА">
      <formula>NOT(ISERROR(SEARCH("ПОМИЛКА",S29)))</formula>
    </cfRule>
    <cfRule type="containsText" dxfId="330" priority="63" stopIfTrue="1" operator="containsText" text="Увага">
      <formula>NOT(ISERROR(SEARCH("Увага",S29)))</formula>
    </cfRule>
    <cfRule type="containsText" dxfId="329" priority="64" stopIfTrue="1" operator="containsText" text="ПРАВДА">
      <formula>NOT(ISERROR(SEARCH("ПРАВДА",S29)))</formula>
    </cfRule>
  </conditionalFormatting>
  <conditionalFormatting sqref="N20">
    <cfRule type="containsText" dxfId="328" priority="44" stopIfTrue="1" operator="containsText" text="ПОМИЛКА">
      <formula>NOT(ISERROR(SEARCH("ПОМИЛКА",N20)))</formula>
    </cfRule>
    <cfRule type="containsText" dxfId="327" priority="45" stopIfTrue="1" operator="containsText" text="Увага">
      <formula>NOT(ISERROR(SEARCH("Увага",N20)))</formula>
    </cfRule>
    <cfRule type="containsText" dxfId="326" priority="46" stopIfTrue="1" operator="containsText" text="ПРАВДА">
      <formula>NOT(ISERROR(SEARCH("ПРАВДА",N20)))</formula>
    </cfRule>
  </conditionalFormatting>
  <conditionalFormatting sqref="T20">
    <cfRule type="containsText" dxfId="325" priority="50" stopIfTrue="1" operator="containsText" text="ПОМИЛКА">
      <formula>NOT(ISERROR(SEARCH("ПОМИЛКА",T20)))</formula>
    </cfRule>
    <cfRule type="containsText" dxfId="324" priority="51" stopIfTrue="1" operator="containsText" text="Увага">
      <formula>NOT(ISERROR(SEARCH("Увага",T20)))</formula>
    </cfRule>
    <cfRule type="containsText" dxfId="323" priority="52" stopIfTrue="1" operator="containsText" text="ПРАВДА">
      <formula>NOT(ISERROR(SEARCH("ПРАВДА",T20)))</formula>
    </cfRule>
  </conditionalFormatting>
  <conditionalFormatting sqref="L15">
    <cfRule type="containsText" dxfId="322" priority="41" stopIfTrue="1" operator="containsText" text="ПОМИЛКА">
      <formula>NOT(ISERROR(SEARCH("ПОМИЛКА",L15)))</formula>
    </cfRule>
    <cfRule type="containsText" dxfId="321" priority="42" stopIfTrue="1" operator="containsText" text="Увага">
      <formula>NOT(ISERROR(SEARCH("Увага",L15)))</formula>
    </cfRule>
    <cfRule type="containsText" dxfId="320" priority="43" stopIfTrue="1" operator="containsText" text="ПРАВДА">
      <formula>NOT(ISERROR(SEARCH("ПРАВДА",L15)))</formula>
    </cfRule>
  </conditionalFormatting>
  <conditionalFormatting sqref="M15">
    <cfRule type="containsText" dxfId="319" priority="38" stopIfTrue="1" operator="containsText" text="ПОМИЛКА">
      <formula>NOT(ISERROR(SEARCH("ПОМИЛКА",M15)))</formula>
    </cfRule>
    <cfRule type="containsText" dxfId="318" priority="39" stopIfTrue="1" operator="containsText" text="Увага">
      <formula>NOT(ISERROR(SEARCH("Увага",M15)))</formula>
    </cfRule>
    <cfRule type="containsText" dxfId="317" priority="40" stopIfTrue="1" operator="containsText" text="ПРАВДА">
      <formula>NOT(ISERROR(SEARCH("ПРАВДА",M15)))</formula>
    </cfRule>
  </conditionalFormatting>
  <conditionalFormatting sqref="P46:Q47 P70 P75 P62 O43:O91 O93:O95">
    <cfRule type="cellIs" dxfId="316" priority="37" operator="lessThan">
      <formula>0</formula>
    </cfRule>
  </conditionalFormatting>
  <conditionalFormatting sqref="P71:P74">
    <cfRule type="cellIs" dxfId="315" priority="35" operator="lessThan">
      <formula>0</formula>
    </cfRule>
  </conditionalFormatting>
  <conditionalFormatting sqref="P76:P90">
    <cfRule type="cellIs" dxfId="314" priority="34" operator="lessThan">
      <formula>0</formula>
    </cfRule>
  </conditionalFormatting>
  <conditionalFormatting sqref="N15">
    <cfRule type="containsText" dxfId="313" priority="31" stopIfTrue="1" operator="containsText" text="ПОМИЛКА">
      <formula>NOT(ISERROR(SEARCH("ПОМИЛКА",N15)))</formula>
    </cfRule>
    <cfRule type="containsText" dxfId="312" priority="32" stopIfTrue="1" operator="containsText" text="Увага">
      <formula>NOT(ISERROR(SEARCH("Увага",N15)))</formula>
    </cfRule>
    <cfRule type="containsText" dxfId="311" priority="33" stopIfTrue="1" operator="containsText" text="ПРАВДА">
      <formula>NOT(ISERROR(SEARCH("ПРАВДА",N15)))</formula>
    </cfRule>
  </conditionalFormatting>
  <conditionalFormatting sqref="O15">
    <cfRule type="containsText" dxfId="310" priority="28" stopIfTrue="1" operator="containsText" text="ПОМИЛКА">
      <formula>NOT(ISERROR(SEARCH("ПОМИЛКА",O15)))</formula>
    </cfRule>
    <cfRule type="containsText" dxfId="309" priority="29" stopIfTrue="1" operator="containsText" text="Увага">
      <formula>NOT(ISERROR(SEARCH("Увага",O15)))</formula>
    </cfRule>
    <cfRule type="containsText" dxfId="308" priority="30" stopIfTrue="1" operator="containsText" text="ПРАВДА">
      <formula>NOT(ISERROR(SEARCH("ПРАВДА",O15)))</formula>
    </cfRule>
  </conditionalFormatting>
  <conditionalFormatting sqref="Q43:Q45">
    <cfRule type="cellIs" dxfId="307" priority="27" operator="lessThan">
      <formula>0</formula>
    </cfRule>
  </conditionalFormatting>
  <conditionalFormatting sqref="Q62:Q68">
    <cfRule type="cellIs" dxfId="306" priority="26" operator="lessThan">
      <formula>0</formula>
    </cfRule>
  </conditionalFormatting>
  <conditionalFormatting sqref="Q71:Q72">
    <cfRule type="cellIs" dxfId="305" priority="25" operator="lessThan">
      <formula>0</formula>
    </cfRule>
  </conditionalFormatting>
  <conditionalFormatting sqref="Q75:Q95">
    <cfRule type="cellIs" dxfId="304" priority="24" operator="lessThan">
      <formula>0</formula>
    </cfRule>
  </conditionalFormatting>
  <conditionalFormatting sqref="O92:P92">
    <cfRule type="cellIs" dxfId="303" priority="23" operator="lessThan">
      <formula>0</formula>
    </cfRule>
  </conditionalFormatting>
  <conditionalFormatting sqref="H11">
    <cfRule type="cellIs" dxfId="302" priority="22" operator="lessThan">
      <formula>0</formula>
    </cfRule>
  </conditionalFormatting>
  <conditionalFormatting sqref="H20:H22 H17:H18">
    <cfRule type="cellIs" dxfId="301" priority="21" operator="lessThan">
      <formula>0</formula>
    </cfRule>
  </conditionalFormatting>
  <conditionalFormatting sqref="H27:H28">
    <cfRule type="cellIs" dxfId="300" priority="20" operator="lessThan">
      <formula>0</formula>
    </cfRule>
  </conditionalFormatting>
  <conditionalFormatting sqref="F43:G45">
    <cfRule type="cellIs" dxfId="299" priority="19" operator="lessThan">
      <formula>0</formula>
    </cfRule>
  </conditionalFormatting>
  <conditionalFormatting sqref="P43:P45">
    <cfRule type="cellIs" dxfId="298" priority="18" operator="lessThan">
      <formula>0</formula>
    </cfRule>
  </conditionalFormatting>
  <conditionalFormatting sqref="P48:P59">
    <cfRule type="cellIs" dxfId="297" priority="17" operator="lessThan">
      <formula>0</formula>
    </cfRule>
  </conditionalFormatting>
  <conditionalFormatting sqref="P60:P61">
    <cfRule type="cellIs" dxfId="296" priority="16" operator="lessThan">
      <formula>0</formula>
    </cfRule>
  </conditionalFormatting>
  <conditionalFormatting sqref="F61:G61">
    <cfRule type="cellIs" dxfId="295" priority="15" operator="lessThan">
      <formula>0</formula>
    </cfRule>
  </conditionalFormatting>
  <conditionalFormatting sqref="F57:G60">
    <cfRule type="cellIs" dxfId="294" priority="14" operator="lessThan">
      <formula>0</formula>
    </cfRule>
  </conditionalFormatting>
  <conditionalFormatting sqref="F54:G56">
    <cfRule type="cellIs" dxfId="293" priority="13" operator="lessThan">
      <formula>0</formula>
    </cfRule>
  </conditionalFormatting>
  <conditionalFormatting sqref="F48:G53">
    <cfRule type="cellIs" dxfId="292" priority="12" operator="lessThan">
      <formula>0</formula>
    </cfRule>
  </conditionalFormatting>
  <conditionalFormatting sqref="P64:P69">
    <cfRule type="cellIs" dxfId="291" priority="11" operator="lessThan">
      <formula>0</formula>
    </cfRule>
  </conditionalFormatting>
  <conditionalFormatting sqref="P63">
    <cfRule type="cellIs" dxfId="290" priority="10" operator="lessThan">
      <formula>0</formula>
    </cfRule>
  </conditionalFormatting>
  <conditionalFormatting sqref="G76:G80">
    <cfRule type="cellIs" dxfId="289" priority="9" operator="lessThan">
      <formula>0</formula>
    </cfRule>
  </conditionalFormatting>
  <conditionalFormatting sqref="P91">
    <cfRule type="cellIs" dxfId="288" priority="7" operator="lessThan">
      <formula>0</formula>
    </cfRule>
  </conditionalFormatting>
  <conditionalFormatting sqref="P93:P94">
    <cfRule type="cellIs" dxfId="287" priority="5" operator="lessThan">
      <formula>0</formula>
    </cfRule>
  </conditionalFormatting>
  <conditionalFormatting sqref="H19">
    <cfRule type="cellIs" dxfId="286" priority="4" operator="lessThan">
      <formula>0</formula>
    </cfRule>
  </conditionalFormatting>
  <conditionalFormatting sqref="P93:P94">
    <cfRule type="cellIs" dxfId="285" priority="3" operator="lessThan">
      <formula>0</formula>
    </cfRule>
  </conditionalFormatting>
  <conditionalFormatting sqref="G93:G94">
    <cfRule type="cellIs" dxfId="284" priority="2" operator="lessThan">
      <formula>0</formula>
    </cfRule>
  </conditionalFormatting>
  <conditionalFormatting sqref="G93:G94">
    <cfRule type="cellIs" dxfId="283" priority="1" operator="lessThan">
      <formula>0</formula>
    </cfRule>
  </conditionalFormatting>
  <dataValidations count="3">
    <dataValidation type="decimal" showInputMessage="1" showErrorMessage="1" sqref="H16 F33 F7:F8 H33 H7:H8 H12:H13 F12:F13 F16">
      <formula1>-1000000000000</formula1>
      <formula2>1000000000000</formula2>
    </dataValidation>
    <dataValidation type="decimal" operator="greaterThanOrEqual" showInputMessage="1" showErrorMessage="1" error="Будь ласка, вкажіть додатнє число." sqref="F9:F11 H17:H29 H9:H11 F34:F36 H34:H36 T46:AE46 D96:E96 F17:F29 F43:S95">
      <formula1>0</formula1>
    </dataValidation>
    <dataValidation type="decimal" operator="lessThanOrEqual" showInputMessage="1" showErrorMessage="1" error="Будь ласка, вкажіть від'ємне число." sqref="F14:F15 H14:H15">
      <formula1>0</formula1>
    </dataValidation>
  </dataValidations>
  <pageMargins left="0" right="7.874015748031496E-2" top="0.19685039370078741" bottom="0" header="0.39370078740157483" footer="0"/>
  <pageSetup paperSize="9" scale="35" orientation="landscape" r:id="rId1"/>
  <headerFooter alignWithMargins="0">
    <oddFooter>&amp;RСтор.  &amp;P</oddFooter>
  </headerFooter>
  <rowBreaks count="2" manualBreakCount="2">
    <brk id="57" max="14" man="1"/>
    <brk id="107" max="14" man="1"/>
  </rowBreaks>
  <colBreaks count="1" manualBreakCount="1">
    <brk id="19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>
    <tabColor rgb="FFFFFF00"/>
  </sheetPr>
  <dimension ref="A1:Y160"/>
  <sheetViews>
    <sheetView showGridLines="0" view="pageBreakPreview" topLeftCell="E1" zoomScale="60" zoomScaleNormal="60" zoomScalePageLayoutView="50" workbookViewId="0">
      <selection activeCell="F13" sqref="F13"/>
    </sheetView>
  </sheetViews>
  <sheetFormatPr defaultColWidth="8.7109375" defaultRowHeight="26.25" x14ac:dyDescent="0.25"/>
  <cols>
    <col min="1" max="1" width="8.42578125" style="22" customWidth="1"/>
    <col min="2" max="2" width="7.7109375" style="20" customWidth="1"/>
    <col min="3" max="3" width="17.5703125" style="1" customWidth="1"/>
    <col min="4" max="4" width="53.42578125" style="2" customWidth="1"/>
    <col min="5" max="5" width="19.7109375" style="58" customWidth="1"/>
    <col min="6" max="6" width="20.28515625" style="58" customWidth="1"/>
    <col min="7" max="7" width="20.7109375" style="58" customWidth="1"/>
    <col min="8" max="8" width="19.5703125" style="4" customWidth="1"/>
    <col min="9" max="9" width="21.5703125" style="4" customWidth="1"/>
    <col min="10" max="10" width="18.5703125" style="4" customWidth="1"/>
    <col min="11" max="11" width="26.28515625" style="4" customWidth="1"/>
    <col min="12" max="12" width="28.7109375" style="13" customWidth="1"/>
    <col min="13" max="13" width="23.7109375" style="12" customWidth="1"/>
    <col min="14" max="14" width="26.28515625" style="2" customWidth="1"/>
    <col min="15" max="15" width="29.42578125" style="47" customWidth="1"/>
    <col min="16" max="16" width="23" style="47" customWidth="1"/>
    <col min="17" max="17" width="0.28515625" style="47" customWidth="1"/>
    <col min="18" max="19" width="23.5703125" style="2" customWidth="1"/>
    <col min="20" max="20" width="0.28515625" style="2" customWidth="1"/>
    <col min="21" max="21" width="122" style="2" customWidth="1"/>
    <col min="22" max="22" width="126.7109375" style="2" customWidth="1"/>
    <col min="23" max="23" width="147.7109375" style="2" customWidth="1"/>
    <col min="24" max="24" width="112.28515625" style="1203" customWidth="1"/>
    <col min="25" max="25" width="36.5703125" style="2" customWidth="1"/>
    <col min="26" max="248" width="8.7109375" style="2"/>
    <col min="249" max="249" width="78.5703125" style="2" customWidth="1"/>
    <col min="250" max="252" width="19.42578125" style="2" customWidth="1"/>
    <col min="253" max="16384" width="8.7109375" style="2"/>
  </cols>
  <sheetData>
    <row r="1" spans="1:25" ht="45" customHeight="1" x14ac:dyDescent="0.25">
      <c r="A1" s="2167" t="s">
        <v>1124</v>
      </c>
      <c r="B1" s="2167"/>
      <c r="C1" s="2167"/>
      <c r="D1" s="2167"/>
      <c r="E1" s="2167"/>
      <c r="F1" s="2167"/>
      <c r="G1" s="2167"/>
      <c r="H1" s="2167"/>
      <c r="I1" s="2167"/>
      <c r="J1" s="2167"/>
      <c r="K1" s="2167"/>
      <c r="L1" s="2167"/>
      <c r="M1" s="2167"/>
      <c r="N1" s="2167"/>
      <c r="O1" s="2167"/>
      <c r="P1" s="2167"/>
    </row>
    <row r="2" spans="1:25" ht="32.25" customHeight="1" x14ac:dyDescent="0.25">
      <c r="A2" s="2126" t="s">
        <v>0</v>
      </c>
      <c r="B2" s="2126"/>
      <c r="C2" s="2126"/>
      <c r="D2" s="64" t="str">
        <f>'Звіт 1,2,3'!D1:H1</f>
        <v>02006707</v>
      </c>
      <c r="E2" s="59" t="s">
        <v>1</v>
      </c>
      <c r="F2" s="62">
        <f>'Звіт 1,2,3'!H1</f>
        <v>430</v>
      </c>
      <c r="G2" s="2"/>
      <c r="H2" s="2"/>
      <c r="I2" s="2"/>
      <c r="J2" s="65"/>
      <c r="K2" s="65"/>
      <c r="L2" s="65"/>
      <c r="O2" s="67"/>
      <c r="P2" s="1944" t="s">
        <v>314</v>
      </c>
      <c r="Q2" s="1944"/>
      <c r="T2" s="47"/>
      <c r="U2" s="47"/>
      <c r="V2" s="47"/>
      <c r="W2" s="47"/>
      <c r="X2" s="1204"/>
      <c r="Y2" s="47"/>
    </row>
    <row r="3" spans="1:25" ht="18" customHeight="1" x14ac:dyDescent="0.25">
      <c r="B3" s="1"/>
      <c r="C3" s="2"/>
      <c r="D3" s="58"/>
      <c r="G3" s="4"/>
      <c r="J3" s="10"/>
      <c r="K3" s="2"/>
      <c r="L3" s="2"/>
      <c r="O3" s="68"/>
      <c r="P3" s="2165" t="s">
        <v>282</v>
      </c>
      <c r="Q3" s="2165"/>
      <c r="T3" s="47"/>
      <c r="U3" s="47"/>
      <c r="V3" s="47"/>
      <c r="W3" s="47"/>
      <c r="X3" s="1204"/>
      <c r="Y3" s="47"/>
    </row>
    <row r="4" spans="1:25" ht="18.600000000000001" customHeight="1" x14ac:dyDescent="0.25">
      <c r="A4" s="2016" t="str">
        <f>'Звіт   4,5,6'!A3</f>
        <v>ЗВІТ ПРО ДОХОДИ ТА ВИТРАТИ за 1 півріччя  2021 року</v>
      </c>
      <c r="B4" s="2016"/>
      <c r="C4" s="2016"/>
      <c r="D4" s="2016"/>
      <c r="E4" s="2016"/>
      <c r="F4" s="2016"/>
      <c r="G4" s="2016"/>
      <c r="H4" s="2016"/>
      <c r="I4" s="2016"/>
      <c r="J4" s="2016"/>
      <c r="K4" s="2016"/>
      <c r="L4" s="2016"/>
      <c r="M4" s="2016"/>
      <c r="N4" s="2016"/>
      <c r="O4" s="17"/>
      <c r="P4" s="17"/>
      <c r="Q4" s="17"/>
      <c r="R4" s="17"/>
      <c r="S4" s="47"/>
      <c r="T4" s="47"/>
      <c r="U4" s="47"/>
      <c r="V4" s="47"/>
      <c r="W4" s="47"/>
      <c r="X4" s="1204"/>
      <c r="Y4" s="47"/>
    </row>
    <row r="5" spans="1:25" s="24" customFormat="1" ht="28.35" customHeight="1" x14ac:dyDescent="0.4">
      <c r="A5" s="2160" t="s">
        <v>1401</v>
      </c>
      <c r="B5" s="2160"/>
      <c r="C5" s="2160"/>
      <c r="D5" s="2160"/>
      <c r="I5" s="40"/>
      <c r="O5" s="16"/>
      <c r="Q5" s="16"/>
      <c r="X5" s="1205"/>
    </row>
    <row r="6" spans="1:25" s="24" customFormat="1" ht="54.75" customHeight="1" x14ac:dyDescent="0.4">
      <c r="A6" s="2144" t="s">
        <v>1412</v>
      </c>
      <c r="B6" s="2144"/>
      <c r="C6" s="2144"/>
      <c r="D6" s="2144"/>
      <c r="E6" s="2144"/>
      <c r="F6" s="2144"/>
      <c r="G6" s="2144"/>
      <c r="H6" s="2144"/>
      <c r="I6" s="2144"/>
      <c r="J6" s="2144"/>
      <c r="K6" s="2144"/>
      <c r="L6" s="2144"/>
      <c r="M6" s="2144"/>
      <c r="N6" s="2144"/>
      <c r="O6" s="2144"/>
      <c r="P6" s="2144"/>
      <c r="Q6" s="16"/>
      <c r="X6" s="1205"/>
    </row>
    <row r="7" spans="1:25" s="1183" customFormat="1" ht="32.25" customHeight="1" x14ac:dyDescent="0.25">
      <c r="A7" s="2169" t="s">
        <v>1400</v>
      </c>
      <c r="B7" s="2169"/>
      <c r="C7" s="2169"/>
      <c r="D7" s="2169"/>
      <c r="E7" s="2169"/>
      <c r="F7" s="2169"/>
      <c r="G7" s="2169"/>
      <c r="H7" s="2169"/>
      <c r="I7" s="2169"/>
      <c r="J7" s="2169"/>
      <c r="K7" s="2169"/>
      <c r="L7" s="2169"/>
      <c r="M7" s="2169"/>
      <c r="N7" s="2169"/>
      <c r="O7" s="2169"/>
      <c r="P7" s="2169"/>
      <c r="Q7" s="1182"/>
      <c r="U7" s="1202" t="s">
        <v>1768</v>
      </c>
      <c r="X7" s="1206"/>
    </row>
    <row r="8" spans="1:25" s="1183" customFormat="1" ht="22.5" customHeight="1" x14ac:dyDescent="0.3">
      <c r="A8" s="1192"/>
      <c r="B8" s="1192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69" t="s">
        <v>248</v>
      </c>
      <c r="O8" s="1192"/>
      <c r="P8" s="1192"/>
      <c r="Q8" s="1182"/>
      <c r="U8" s="1211" t="s">
        <v>1713</v>
      </c>
      <c r="V8" s="1210" t="s">
        <v>1619</v>
      </c>
      <c r="W8" s="1207" t="s">
        <v>1557</v>
      </c>
      <c r="X8" s="1207" t="s">
        <v>1416</v>
      </c>
    </row>
    <row r="9" spans="1:25" s="24" customFormat="1" ht="30" customHeight="1" x14ac:dyDescent="0.25">
      <c r="A9" s="2145" t="str">
        <f>'Звіт   4,5,6'!A5</f>
        <v>№ з/п</v>
      </c>
      <c r="B9" s="2146"/>
      <c r="C9" s="2151" t="s">
        <v>7</v>
      </c>
      <c r="D9" s="2151"/>
      <c r="E9" s="2127" t="s">
        <v>1409</v>
      </c>
      <c r="F9" s="2127"/>
      <c r="G9" s="2127"/>
      <c r="H9" s="2127"/>
      <c r="I9" s="2127"/>
      <c r="J9" s="2127"/>
      <c r="K9" s="2127"/>
      <c r="L9" s="2127"/>
      <c r="M9" s="2127" t="s">
        <v>1777</v>
      </c>
      <c r="N9" s="2127"/>
      <c r="O9" s="1181"/>
      <c r="P9" s="1181"/>
      <c r="Q9" s="16"/>
      <c r="U9" s="1199" t="s">
        <v>1714</v>
      </c>
      <c r="V9" s="1198" t="s">
        <v>1620</v>
      </c>
      <c r="W9" s="1200" t="s">
        <v>1558</v>
      </c>
      <c r="X9" s="1200" t="s">
        <v>1417</v>
      </c>
    </row>
    <row r="10" spans="1:25" s="9" customFormat="1" ht="45.75" customHeight="1" x14ac:dyDescent="0.25">
      <c r="A10" s="2147"/>
      <c r="B10" s="2148"/>
      <c r="C10" s="2151"/>
      <c r="D10" s="2151"/>
      <c r="E10" s="2127" t="s">
        <v>591</v>
      </c>
      <c r="F10" s="2127"/>
      <c r="G10" s="2127" t="s">
        <v>1403</v>
      </c>
      <c r="H10" s="2127"/>
      <c r="I10" s="2127" t="s">
        <v>1404</v>
      </c>
      <c r="J10" s="2127"/>
      <c r="K10" s="2127" t="s">
        <v>1405</v>
      </c>
      <c r="L10" s="2127"/>
      <c r="M10" s="2127"/>
      <c r="N10" s="2127"/>
      <c r="O10" s="2168"/>
      <c r="P10" s="2168"/>
      <c r="Q10" s="15"/>
      <c r="U10" s="1199" t="s">
        <v>1715</v>
      </c>
      <c r="V10" s="1198" t="s">
        <v>1621</v>
      </c>
      <c r="W10" s="1200" t="s">
        <v>1559</v>
      </c>
      <c r="X10" s="1200" t="s">
        <v>1418</v>
      </c>
    </row>
    <row r="11" spans="1:25" s="9" customFormat="1" ht="51.75" customHeight="1" x14ac:dyDescent="0.25">
      <c r="A11" s="2149"/>
      <c r="B11" s="2150"/>
      <c r="C11" s="2151"/>
      <c r="D11" s="2151"/>
      <c r="E11" s="1194" t="s">
        <v>1410</v>
      </c>
      <c r="F11" s="1194" t="s">
        <v>1411</v>
      </c>
      <c r="G11" s="1194" t="s">
        <v>1410</v>
      </c>
      <c r="H11" s="1194" t="s">
        <v>1411</v>
      </c>
      <c r="I11" s="1194" t="s">
        <v>1410</v>
      </c>
      <c r="J11" s="1194" t="s">
        <v>1411</v>
      </c>
      <c r="K11" s="1194" t="s">
        <v>1410</v>
      </c>
      <c r="L11" s="1194" t="s">
        <v>1411</v>
      </c>
      <c r="M11" s="1194" t="s">
        <v>86</v>
      </c>
      <c r="N11" s="1194" t="s">
        <v>8</v>
      </c>
      <c r="O11" s="1189"/>
      <c r="P11" s="1189"/>
      <c r="Q11" s="15"/>
      <c r="U11" s="1199" t="s">
        <v>1716</v>
      </c>
      <c r="V11" s="1198" t="s">
        <v>1622</v>
      </c>
      <c r="W11" s="1200" t="s">
        <v>1560</v>
      </c>
      <c r="X11" s="1200" t="s">
        <v>1419</v>
      </c>
    </row>
    <row r="12" spans="1:25" s="23" customFormat="1" ht="23.65" customHeight="1" x14ac:dyDescent="0.25">
      <c r="A12" s="1985">
        <v>1</v>
      </c>
      <c r="B12" s="1985"/>
      <c r="C12" s="1985">
        <v>2</v>
      </c>
      <c r="D12" s="1985"/>
      <c r="E12" s="1187">
        <v>3</v>
      </c>
      <c r="F12" s="1187">
        <v>4</v>
      </c>
      <c r="G12" s="1188">
        <v>5</v>
      </c>
      <c r="H12" s="1187">
        <v>6</v>
      </c>
      <c r="I12" s="1187">
        <v>7</v>
      </c>
      <c r="J12" s="1188">
        <v>8</v>
      </c>
      <c r="K12" s="1187">
        <v>9</v>
      </c>
      <c r="L12" s="1188">
        <v>10</v>
      </c>
      <c r="M12" s="1187">
        <v>11</v>
      </c>
      <c r="N12" s="1188">
        <v>12</v>
      </c>
      <c r="O12" s="1190"/>
      <c r="P12" s="1191"/>
      <c r="Q12" s="48"/>
      <c r="U12" s="1199" t="s">
        <v>1717</v>
      </c>
      <c r="V12" s="1198" t="s">
        <v>1623</v>
      </c>
      <c r="W12" s="1200" t="s">
        <v>1561</v>
      </c>
      <c r="X12" s="1200" t="s">
        <v>1420</v>
      </c>
    </row>
    <row r="13" spans="1:25" s="9" customFormat="1" ht="23.1" customHeight="1" x14ac:dyDescent="0.3">
      <c r="A13" s="2120" t="s">
        <v>261</v>
      </c>
      <c r="B13" s="2120"/>
      <c r="C13" s="2161" t="s">
        <v>1402</v>
      </c>
      <c r="D13" s="2161"/>
      <c r="E13" s="44">
        <f t="shared" ref="E13:F19" si="0">SUM(G13,I13,K13)</f>
        <v>0</v>
      </c>
      <c r="F13" s="44">
        <f t="shared" si="0"/>
        <v>33163411.960000001</v>
      </c>
      <c r="G13" s="44">
        <f>SUM(G14,G15,G16,G17,G18,G19)</f>
        <v>0</v>
      </c>
      <c r="H13" s="44">
        <f t="shared" ref="H13:N13" si="1">SUM(H14,H15,H16,H17,H18,H19)</f>
        <v>17344305.670000002</v>
      </c>
      <c r="I13" s="44">
        <f t="shared" si="1"/>
        <v>0</v>
      </c>
      <c r="J13" s="44">
        <f t="shared" si="1"/>
        <v>14548952.970000001</v>
      </c>
      <c r="K13" s="44">
        <f t="shared" si="1"/>
        <v>0</v>
      </c>
      <c r="L13" s="44">
        <f t="shared" si="1"/>
        <v>1270153.32</v>
      </c>
      <c r="M13" s="44">
        <f t="shared" si="1"/>
        <v>0</v>
      </c>
      <c r="N13" s="146">
        <f t="shared" si="1"/>
        <v>8199249.9500000002</v>
      </c>
      <c r="O13" s="149"/>
      <c r="P13" s="337"/>
      <c r="Q13" s="15"/>
      <c r="U13" s="1199" t="s">
        <v>1718</v>
      </c>
      <c r="V13" s="1198" t="s">
        <v>1624</v>
      </c>
      <c r="W13" s="1200" t="s">
        <v>1562</v>
      </c>
      <c r="X13" s="1200" t="s">
        <v>1421</v>
      </c>
    </row>
    <row r="14" spans="1:25" s="9" customFormat="1" ht="23.1" customHeight="1" x14ac:dyDescent="0.3">
      <c r="A14" s="2120" t="s">
        <v>88</v>
      </c>
      <c r="B14" s="2120"/>
      <c r="C14" s="2159" t="s">
        <v>32</v>
      </c>
      <c r="D14" s="2159"/>
      <c r="E14" s="44">
        <f t="shared" si="0"/>
        <v>0</v>
      </c>
      <c r="F14" s="44">
        <f>SUM(H14,J14,L14)</f>
        <v>273697.07</v>
      </c>
      <c r="G14" s="293">
        <v>0</v>
      </c>
      <c r="H14" s="293">
        <v>247047.45</v>
      </c>
      <c r="I14" s="293">
        <v>0</v>
      </c>
      <c r="J14" s="293">
        <v>26649.62</v>
      </c>
      <c r="K14" s="293">
        <v>0</v>
      </c>
      <c r="L14" s="293">
        <v>0</v>
      </c>
      <c r="M14" s="293">
        <v>0</v>
      </c>
      <c r="N14" s="293">
        <v>78764.289999999994</v>
      </c>
      <c r="O14" s="150"/>
      <c r="P14" s="150"/>
      <c r="Q14" s="15"/>
      <c r="U14" s="1199" t="s">
        <v>1719</v>
      </c>
      <c r="V14" s="1198" t="s">
        <v>1625</v>
      </c>
      <c r="W14" s="1200" t="s">
        <v>1563</v>
      </c>
      <c r="X14" s="1200" t="s">
        <v>1422</v>
      </c>
    </row>
    <row r="15" spans="1:25" s="9" customFormat="1" ht="23.1" customHeight="1" x14ac:dyDescent="0.3">
      <c r="A15" s="2120" t="s">
        <v>89</v>
      </c>
      <c r="B15" s="2120"/>
      <c r="C15" s="2159" t="s">
        <v>33</v>
      </c>
      <c r="D15" s="2159"/>
      <c r="E15" s="44">
        <f t="shared" si="0"/>
        <v>0</v>
      </c>
      <c r="F15" s="44">
        <f t="shared" si="0"/>
        <v>3093002.27</v>
      </c>
      <c r="G15" s="293">
        <v>0</v>
      </c>
      <c r="H15" s="293">
        <v>1877172.37</v>
      </c>
      <c r="I15" s="293">
        <v>0</v>
      </c>
      <c r="J15" s="293">
        <v>1124309.4099999999</v>
      </c>
      <c r="K15" s="293">
        <v>0</v>
      </c>
      <c r="L15" s="293">
        <v>91520.49</v>
      </c>
      <c r="M15" s="293">
        <v>0</v>
      </c>
      <c r="N15" s="293">
        <v>796098.94</v>
      </c>
      <c r="O15" s="150"/>
      <c r="P15" s="150"/>
      <c r="Q15" s="15"/>
      <c r="U15" s="1199" t="s">
        <v>1720</v>
      </c>
      <c r="V15" s="1198" t="s">
        <v>1626</v>
      </c>
      <c r="W15" s="1200" t="s">
        <v>1564</v>
      </c>
      <c r="X15" s="1200" t="s">
        <v>1423</v>
      </c>
    </row>
    <row r="16" spans="1:25" s="9" customFormat="1" ht="21.6" customHeight="1" x14ac:dyDescent="0.3">
      <c r="A16" s="2120" t="s">
        <v>90</v>
      </c>
      <c r="B16" s="2120"/>
      <c r="C16" s="2159" t="s">
        <v>14</v>
      </c>
      <c r="D16" s="2159"/>
      <c r="E16" s="44">
        <f t="shared" si="0"/>
        <v>0</v>
      </c>
      <c r="F16" s="44">
        <f t="shared" si="0"/>
        <v>5344067.47</v>
      </c>
      <c r="G16" s="52">
        <v>0</v>
      </c>
      <c r="H16" s="52">
        <v>2666732.3199999998</v>
      </c>
      <c r="I16" s="52">
        <v>0</v>
      </c>
      <c r="J16" s="52">
        <v>2411053.67</v>
      </c>
      <c r="K16" s="52">
        <v>0</v>
      </c>
      <c r="L16" s="52">
        <v>266281.48</v>
      </c>
      <c r="M16" s="52">
        <v>0</v>
      </c>
      <c r="N16" s="52">
        <v>1307598.17</v>
      </c>
      <c r="O16" s="150"/>
      <c r="P16" s="150"/>
      <c r="Q16" s="15"/>
      <c r="U16" s="1199" t="s">
        <v>1721</v>
      </c>
      <c r="V16" s="1198" t="s">
        <v>1627</v>
      </c>
      <c r="W16" s="1200" t="s">
        <v>1565</v>
      </c>
      <c r="X16" s="1200" t="s">
        <v>1424</v>
      </c>
    </row>
    <row r="17" spans="1:25" s="9" customFormat="1" ht="37.9" customHeight="1" x14ac:dyDescent="0.3">
      <c r="A17" s="2120" t="s">
        <v>1030</v>
      </c>
      <c r="B17" s="2120"/>
      <c r="C17" s="2159" t="s">
        <v>362</v>
      </c>
      <c r="D17" s="2159"/>
      <c r="E17" s="44">
        <f t="shared" si="0"/>
        <v>0</v>
      </c>
      <c r="F17" s="44">
        <f t="shared" si="0"/>
        <v>11975239.35</v>
      </c>
      <c r="G17" s="515">
        <v>0</v>
      </c>
      <c r="H17" s="515">
        <v>6013414.0999999996</v>
      </c>
      <c r="I17" s="515">
        <v>0</v>
      </c>
      <c r="J17" s="515">
        <v>5355273.3</v>
      </c>
      <c r="K17" s="515">
        <v>0</v>
      </c>
      <c r="L17" s="515">
        <v>606551.94999999995</v>
      </c>
      <c r="M17" s="515">
        <v>0</v>
      </c>
      <c r="N17" s="515">
        <v>3056280.91</v>
      </c>
      <c r="O17" s="150"/>
      <c r="P17" s="150"/>
      <c r="Q17" s="15"/>
      <c r="U17" s="1199" t="s">
        <v>1722</v>
      </c>
      <c r="V17" s="1198" t="s">
        <v>1628</v>
      </c>
      <c r="W17" s="1200" t="s">
        <v>1566</v>
      </c>
      <c r="X17" s="1200" t="s">
        <v>1425</v>
      </c>
    </row>
    <row r="18" spans="1:25" s="9" customFormat="1" ht="23.1" customHeight="1" x14ac:dyDescent="0.3">
      <c r="A18" s="2120" t="s">
        <v>1031</v>
      </c>
      <c r="B18" s="2120"/>
      <c r="C18" s="2159" t="s">
        <v>16</v>
      </c>
      <c r="D18" s="2159"/>
      <c r="E18" s="44">
        <f t="shared" si="0"/>
        <v>0</v>
      </c>
      <c r="F18" s="44">
        <f t="shared" si="0"/>
        <v>5329021.67</v>
      </c>
      <c r="G18" s="52">
        <v>0</v>
      </c>
      <c r="H18" s="52">
        <v>2649003.19</v>
      </c>
      <c r="I18" s="52">
        <v>0</v>
      </c>
      <c r="J18" s="52">
        <v>2413480.7799999998</v>
      </c>
      <c r="K18" s="52">
        <v>0</v>
      </c>
      <c r="L18" s="52">
        <v>266537.7</v>
      </c>
      <c r="M18" s="52">
        <v>0</v>
      </c>
      <c r="N18" s="52">
        <v>1329559.21</v>
      </c>
      <c r="O18" s="150"/>
      <c r="P18" s="150"/>
      <c r="Q18" s="15"/>
      <c r="U18" s="1199" t="s">
        <v>1723</v>
      </c>
      <c r="V18" s="1198" t="s">
        <v>1629</v>
      </c>
      <c r="W18" s="1200" t="s">
        <v>1567</v>
      </c>
      <c r="X18" s="1200" t="s">
        <v>1426</v>
      </c>
    </row>
    <row r="19" spans="1:25" s="9" customFormat="1" ht="23.1" customHeight="1" x14ac:dyDescent="0.3">
      <c r="A19" s="2120" t="s">
        <v>1032</v>
      </c>
      <c r="B19" s="2120"/>
      <c r="C19" s="2159" t="s">
        <v>210</v>
      </c>
      <c r="D19" s="2159"/>
      <c r="E19" s="44">
        <f t="shared" si="0"/>
        <v>0</v>
      </c>
      <c r="F19" s="44">
        <f t="shared" si="0"/>
        <v>7148384.1299999999</v>
      </c>
      <c r="G19" s="52">
        <v>0</v>
      </c>
      <c r="H19" s="52">
        <v>3890936.24</v>
      </c>
      <c r="I19" s="52">
        <v>0</v>
      </c>
      <c r="J19" s="52">
        <v>3218186.19</v>
      </c>
      <c r="K19" s="52">
        <v>0</v>
      </c>
      <c r="L19" s="52">
        <v>39261.699999999997</v>
      </c>
      <c r="M19" s="52">
        <v>0</v>
      </c>
      <c r="N19" s="52">
        <v>1630948.43</v>
      </c>
      <c r="O19" s="150"/>
      <c r="P19" s="150"/>
      <c r="Q19" s="15"/>
      <c r="U19" s="1199" t="s">
        <v>1724</v>
      </c>
      <c r="V19" s="1198" t="s">
        <v>1630</v>
      </c>
      <c r="W19" s="1200" t="s">
        <v>1568</v>
      </c>
      <c r="X19" s="1200" t="s">
        <v>1427</v>
      </c>
    </row>
    <row r="20" spans="1:25" s="12" customFormat="1" x14ac:dyDescent="0.35">
      <c r="A20" s="1175" t="s">
        <v>1398</v>
      </c>
      <c r="B20" s="1176"/>
      <c r="C20" s="1176"/>
      <c r="D20" s="1177"/>
      <c r="E20" s="1178"/>
      <c r="F20" s="1179"/>
      <c r="G20" s="1179"/>
      <c r="H20" s="1179"/>
      <c r="I20" s="1179"/>
      <c r="J20" s="1179"/>
      <c r="K20" s="1179"/>
      <c r="L20" s="1174"/>
      <c r="M20" s="1180"/>
      <c r="N20" s="2"/>
      <c r="O20" s="47"/>
      <c r="P20" s="47"/>
      <c r="Q20" s="47"/>
      <c r="R20" s="2"/>
      <c r="S20" s="2"/>
      <c r="T20" s="2"/>
      <c r="U20" s="1199" t="s">
        <v>1725</v>
      </c>
      <c r="V20" s="1198" t="s">
        <v>1631</v>
      </c>
      <c r="W20" s="1200" t="s">
        <v>1569</v>
      </c>
      <c r="X20" s="1200" t="s">
        <v>1428</v>
      </c>
      <c r="Y20" s="2"/>
    </row>
    <row r="21" spans="1:25" s="9" customFormat="1" ht="23.1" customHeight="1" x14ac:dyDescent="0.3">
      <c r="A21" s="1171"/>
      <c r="B21" s="1171"/>
      <c r="C21" s="1172"/>
      <c r="D21" s="1172"/>
      <c r="E21" s="149"/>
      <c r="F21" s="149"/>
      <c r="G21" s="994"/>
      <c r="H21" s="150"/>
      <c r="I21" s="994"/>
      <c r="J21" s="994"/>
      <c r="K21" s="150"/>
      <c r="L21" s="150"/>
      <c r="M21" s="150"/>
      <c r="N21" s="150"/>
      <c r="O21" s="994"/>
      <c r="P21" s="994"/>
      <c r="Q21" s="15"/>
      <c r="U21" s="1199" t="s">
        <v>1726</v>
      </c>
      <c r="V21" s="1198" t="s">
        <v>1632</v>
      </c>
      <c r="W21" s="1200" t="s">
        <v>1570</v>
      </c>
      <c r="X21" s="1200" t="s">
        <v>1429</v>
      </c>
    </row>
    <row r="22" spans="1:25" ht="34.35" customHeight="1" x14ac:dyDescent="0.3">
      <c r="A22" s="1224" t="s">
        <v>1816</v>
      </c>
      <c r="B22" s="1224"/>
      <c r="C22" s="1224"/>
      <c r="D22" s="1273"/>
      <c r="H22" s="58"/>
      <c r="L22" s="428"/>
      <c r="M22" s="2"/>
      <c r="N22" s="437"/>
      <c r="U22" s="1199" t="s">
        <v>1727</v>
      </c>
      <c r="V22" s="1198" t="s">
        <v>1633</v>
      </c>
      <c r="W22" s="1200" t="s">
        <v>1571</v>
      </c>
      <c r="X22" s="1200" t="s">
        <v>1430</v>
      </c>
    </row>
    <row r="23" spans="1:25" s="12" customFormat="1" ht="27" customHeight="1" x14ac:dyDescent="0.25">
      <c r="A23" s="2170" t="s">
        <v>1399</v>
      </c>
      <c r="B23" s="2170"/>
      <c r="C23" s="2170"/>
      <c r="D23" s="2170"/>
      <c r="E23" s="2170"/>
      <c r="F23" s="2170"/>
      <c r="G23" s="2170"/>
      <c r="H23" s="2170"/>
      <c r="I23" s="2170"/>
      <c r="J23" s="2170"/>
      <c r="K23" s="2170"/>
      <c r="L23" s="1174"/>
      <c r="M23" s="1174"/>
      <c r="N23" s="2"/>
      <c r="P23" s="47"/>
      <c r="Q23" s="47"/>
      <c r="R23" s="2"/>
      <c r="S23" s="2"/>
      <c r="T23" s="2"/>
      <c r="U23" s="1199" t="s">
        <v>1728</v>
      </c>
      <c r="V23" s="1198" t="s">
        <v>1634</v>
      </c>
      <c r="W23" s="1200" t="s">
        <v>1572</v>
      </c>
      <c r="X23" s="1200" t="s">
        <v>1431</v>
      </c>
      <c r="Y23" s="2"/>
    </row>
    <row r="24" spans="1:25" s="12" customFormat="1" ht="18" customHeight="1" thickBot="1" x14ac:dyDescent="0.35">
      <c r="A24" s="1173"/>
      <c r="B24" s="1173"/>
      <c r="C24" s="1173"/>
      <c r="D24" s="1173"/>
      <c r="E24" s="1173"/>
      <c r="F24" s="1173"/>
      <c r="G24" s="1173"/>
      <c r="H24" s="1173"/>
      <c r="I24" s="1173"/>
      <c r="J24" s="1173"/>
      <c r="K24" s="1173"/>
      <c r="L24" s="1174"/>
      <c r="M24" s="1174"/>
      <c r="N24" s="2"/>
      <c r="O24" s="428" t="s">
        <v>36</v>
      </c>
      <c r="P24" s="47"/>
      <c r="Q24" s="47"/>
      <c r="R24" s="2"/>
      <c r="S24" s="2"/>
      <c r="T24" s="2"/>
      <c r="U24" s="1199"/>
      <c r="V24" s="1198"/>
      <c r="W24" s="1200"/>
      <c r="X24" s="1200"/>
      <c r="Y24" s="2"/>
    </row>
    <row r="25" spans="1:25" ht="47.25" customHeight="1" thickBot="1" x14ac:dyDescent="0.3">
      <c r="A25" s="2191" t="s">
        <v>37</v>
      </c>
      <c r="B25" s="2166" t="s">
        <v>7</v>
      </c>
      <c r="C25" s="2166"/>
      <c r="D25" s="2166"/>
      <c r="E25" s="2125" t="s">
        <v>247</v>
      </c>
      <c r="F25" s="2071" t="s">
        <v>32</v>
      </c>
      <c r="G25" s="2071" t="s">
        <v>33</v>
      </c>
      <c r="H25" s="2071"/>
      <c r="I25" s="2071" t="s">
        <v>14</v>
      </c>
      <c r="J25" s="2071" t="s">
        <v>362</v>
      </c>
      <c r="K25" s="2071" t="s">
        <v>16</v>
      </c>
      <c r="L25" s="2071" t="s">
        <v>210</v>
      </c>
      <c r="M25" s="2071"/>
      <c r="N25" s="2180" t="s">
        <v>1773</v>
      </c>
      <c r="O25" s="2181"/>
      <c r="P25" s="2173" t="s">
        <v>958</v>
      </c>
      <c r="Q25" s="231" t="s">
        <v>589</v>
      </c>
      <c r="R25" s="98"/>
      <c r="S25" s="98"/>
      <c r="U25" s="1199" t="s">
        <v>1729</v>
      </c>
      <c r="V25" s="1198" t="s">
        <v>1635</v>
      </c>
      <c r="W25" s="1200" t="s">
        <v>1573</v>
      </c>
      <c r="X25" s="1200" t="s">
        <v>1432</v>
      </c>
    </row>
    <row r="26" spans="1:25" ht="98.25" customHeight="1" x14ac:dyDescent="0.25">
      <c r="A26" s="2192"/>
      <c r="B26" s="1902"/>
      <c r="C26" s="1902"/>
      <c r="D26" s="1902"/>
      <c r="E26" s="1921"/>
      <c r="F26" s="2164"/>
      <c r="G26" s="590" t="s">
        <v>692</v>
      </c>
      <c r="H26" s="127" t="s">
        <v>406</v>
      </c>
      <c r="I26" s="2164"/>
      <c r="J26" s="2164"/>
      <c r="K26" s="2164"/>
      <c r="L26" s="70" t="s">
        <v>693</v>
      </c>
      <c r="M26" s="127" t="s">
        <v>324</v>
      </c>
      <c r="N26" s="1193" t="s">
        <v>247</v>
      </c>
      <c r="O26" s="1193" t="s">
        <v>1771</v>
      </c>
      <c r="P26" s="2173"/>
      <c r="Q26" s="2174" t="s">
        <v>1315</v>
      </c>
      <c r="R26" s="2174"/>
      <c r="S26" s="2175"/>
      <c r="U26" s="1199" t="s">
        <v>1730</v>
      </c>
      <c r="V26" s="1198" t="s">
        <v>1636</v>
      </c>
      <c r="W26" s="1200" t="s">
        <v>1574</v>
      </c>
      <c r="X26" s="1200" t="s">
        <v>1433</v>
      </c>
    </row>
    <row r="27" spans="1:25" ht="18.75" customHeight="1" x14ac:dyDescent="0.25">
      <c r="A27" s="126">
        <v>1</v>
      </c>
      <c r="B27" s="1902">
        <v>2</v>
      </c>
      <c r="C27" s="1902"/>
      <c r="D27" s="1902"/>
      <c r="E27" s="71">
        <v>3</v>
      </c>
      <c r="F27" s="85">
        <v>4</v>
      </c>
      <c r="G27" s="71">
        <v>5</v>
      </c>
      <c r="H27" s="85">
        <v>6</v>
      </c>
      <c r="I27" s="71">
        <v>7</v>
      </c>
      <c r="J27" s="85">
        <v>8</v>
      </c>
      <c r="K27" s="71">
        <v>9</v>
      </c>
      <c r="L27" s="85">
        <v>10</v>
      </c>
      <c r="M27" s="71">
        <v>11</v>
      </c>
      <c r="N27" s="85">
        <v>12</v>
      </c>
      <c r="O27" s="434">
        <v>13</v>
      </c>
      <c r="P27" s="2173"/>
      <c r="Q27" s="2171" t="s">
        <v>590</v>
      </c>
      <c r="R27" s="2176" t="s">
        <v>1772</v>
      </c>
      <c r="S27" s="2177"/>
      <c r="U27" s="1199" t="s">
        <v>1731</v>
      </c>
      <c r="V27" s="1198" t="s">
        <v>1637</v>
      </c>
      <c r="W27" s="1200" t="s">
        <v>1575</v>
      </c>
      <c r="X27" s="1200" t="s">
        <v>1434</v>
      </c>
    </row>
    <row r="28" spans="1:25" ht="29.1" customHeight="1" thickBot="1" x14ac:dyDescent="0.3">
      <c r="A28" s="126">
        <v>1</v>
      </c>
      <c r="B28" s="2124" t="s">
        <v>38</v>
      </c>
      <c r="C28" s="2124"/>
      <c r="D28" s="2124"/>
      <c r="E28" s="594">
        <f>SUM(F28:M28)</f>
        <v>577</v>
      </c>
      <c r="F28" s="594">
        <f t="shared" ref="F28:N28" si="2">F29+F30+F31</f>
        <v>2</v>
      </c>
      <c r="G28" s="594">
        <f t="shared" si="2"/>
        <v>18</v>
      </c>
      <c r="H28" s="594">
        <f t="shared" si="2"/>
        <v>19</v>
      </c>
      <c r="I28" s="594">
        <f t="shared" si="2"/>
        <v>71</v>
      </c>
      <c r="J28" s="594">
        <f t="shared" si="2"/>
        <v>189</v>
      </c>
      <c r="K28" s="594">
        <f t="shared" si="2"/>
        <v>119</v>
      </c>
      <c r="L28" s="594">
        <f t="shared" si="2"/>
        <v>153</v>
      </c>
      <c r="M28" s="594">
        <f t="shared" si="2"/>
        <v>6</v>
      </c>
      <c r="N28" s="594">
        <f t="shared" si="2"/>
        <v>496164</v>
      </c>
      <c r="O28" s="595">
        <f>N28/E28</f>
        <v>860</v>
      </c>
      <c r="Q28" s="2172"/>
      <c r="R28" s="2178">
        <v>966</v>
      </c>
      <c r="S28" s="2179"/>
      <c r="U28" s="1199" t="s">
        <v>1732</v>
      </c>
      <c r="V28" s="1198" t="s">
        <v>1638</v>
      </c>
      <c r="W28" s="1200" t="s">
        <v>1576</v>
      </c>
      <c r="X28" s="1200" t="s">
        <v>1435</v>
      </c>
    </row>
    <row r="29" spans="1:25" ht="29.1" customHeight="1" x14ac:dyDescent="0.25">
      <c r="A29" s="126" t="s">
        <v>88</v>
      </c>
      <c r="B29" s="2163" t="s">
        <v>312</v>
      </c>
      <c r="C29" s="2163"/>
      <c r="D29" s="2163"/>
      <c r="E29" s="594">
        <f>SUM(F29:M29)</f>
        <v>569</v>
      </c>
      <c r="F29" s="589">
        <v>2</v>
      </c>
      <c r="G29" s="589">
        <v>18</v>
      </c>
      <c r="H29" s="589">
        <v>19</v>
      </c>
      <c r="I29" s="589">
        <v>65</v>
      </c>
      <c r="J29" s="589">
        <v>189</v>
      </c>
      <c r="K29" s="589">
        <v>118</v>
      </c>
      <c r="L29" s="589">
        <v>152</v>
      </c>
      <c r="M29" s="589">
        <v>6</v>
      </c>
      <c r="N29" s="589">
        <v>493149</v>
      </c>
      <c r="O29" s="595">
        <f>N29/E29</f>
        <v>867</v>
      </c>
      <c r="P29" s="99"/>
      <c r="Q29" s="107"/>
      <c r="R29" s="107"/>
      <c r="U29" s="1199" t="s">
        <v>1733</v>
      </c>
      <c r="V29" s="1198" t="s">
        <v>1639</v>
      </c>
      <c r="W29" s="1200" t="s">
        <v>1577</v>
      </c>
      <c r="X29" s="1200" t="s">
        <v>1436</v>
      </c>
    </row>
    <row r="30" spans="1:25" ht="29.1" customHeight="1" x14ac:dyDescent="0.25">
      <c r="A30" s="126" t="s">
        <v>89</v>
      </c>
      <c r="B30" s="2163" t="s">
        <v>39</v>
      </c>
      <c r="C30" s="2163"/>
      <c r="D30" s="2163"/>
      <c r="E30" s="594">
        <f>SUM(F30:M30)</f>
        <v>8</v>
      </c>
      <c r="F30" s="589">
        <v>0</v>
      </c>
      <c r="G30" s="589">
        <v>0</v>
      </c>
      <c r="H30" s="589">
        <v>0</v>
      </c>
      <c r="I30" s="589">
        <v>6</v>
      </c>
      <c r="J30" s="589">
        <v>0</v>
      </c>
      <c r="K30" s="589">
        <v>1</v>
      </c>
      <c r="L30" s="589">
        <v>1</v>
      </c>
      <c r="M30" s="589">
        <v>0</v>
      </c>
      <c r="N30" s="589">
        <v>3015</v>
      </c>
      <c r="O30" s="595">
        <f>N30/E30</f>
        <v>377</v>
      </c>
      <c r="P30" s="99"/>
      <c r="Q30" s="99"/>
      <c r="R30" s="99"/>
      <c r="U30" s="1199" t="s">
        <v>1734</v>
      </c>
      <c r="V30" s="1198" t="s">
        <v>1640</v>
      </c>
      <c r="W30" s="1200" t="s">
        <v>1578</v>
      </c>
      <c r="X30" s="1200" t="s">
        <v>1437</v>
      </c>
    </row>
    <row r="31" spans="1:25" s="12" customFormat="1" ht="44.65" customHeight="1" thickBot="1" x14ac:dyDescent="0.3">
      <c r="A31" s="435" t="s">
        <v>90</v>
      </c>
      <c r="B31" s="2158" t="s">
        <v>40</v>
      </c>
      <c r="C31" s="2158"/>
      <c r="D31" s="2158"/>
      <c r="E31" s="596">
        <f>SUM(F31:M31)</f>
        <v>0</v>
      </c>
      <c r="F31" s="591">
        <v>0</v>
      </c>
      <c r="G31" s="591">
        <v>0</v>
      </c>
      <c r="H31" s="591">
        <v>0</v>
      </c>
      <c r="I31" s="591">
        <v>0</v>
      </c>
      <c r="J31" s="591">
        <v>0</v>
      </c>
      <c r="K31" s="591">
        <v>0</v>
      </c>
      <c r="L31" s="591">
        <v>0</v>
      </c>
      <c r="M31" s="591">
        <v>0</v>
      </c>
      <c r="N31" s="591">
        <v>0</v>
      </c>
      <c r="O31" s="597" t="e">
        <f>N31/E31</f>
        <v>#DIV/0!</v>
      </c>
      <c r="P31" s="98"/>
      <c r="Q31" s="99"/>
      <c r="R31" s="955"/>
      <c r="S31" s="2"/>
      <c r="T31" s="2"/>
      <c r="U31" s="1199" t="s">
        <v>1735</v>
      </c>
      <c r="V31" s="1198" t="s">
        <v>1641</v>
      </c>
      <c r="W31" s="1200" t="s">
        <v>1579</v>
      </c>
      <c r="X31" s="1200" t="s">
        <v>1438</v>
      </c>
      <c r="Y31" s="2"/>
    </row>
    <row r="32" spans="1:25" s="12" customFormat="1" ht="19.350000000000001" customHeight="1" x14ac:dyDescent="0.25">
      <c r="A32" s="2162" t="s">
        <v>1817</v>
      </c>
      <c r="B32" s="2162"/>
      <c r="C32" s="2162"/>
      <c r="D32" s="2162"/>
      <c r="E32" s="2162"/>
      <c r="F32" s="2162"/>
      <c r="G32" s="2162"/>
      <c r="H32" s="2162"/>
      <c r="I32" s="2162"/>
      <c r="J32" s="2162"/>
      <c r="K32" s="2162"/>
      <c r="L32" s="2162"/>
      <c r="M32" s="2162"/>
      <c r="N32" s="2"/>
      <c r="O32" s="47"/>
      <c r="P32" s="47"/>
      <c r="Q32" s="47"/>
      <c r="R32" s="2"/>
      <c r="S32" s="2"/>
      <c r="T32" s="2"/>
      <c r="U32" s="1199" t="s">
        <v>1736</v>
      </c>
      <c r="V32" s="1198" t="s">
        <v>1642</v>
      </c>
      <c r="W32" s="1200" t="s">
        <v>1580</v>
      </c>
      <c r="X32" s="1200" t="s">
        <v>1439</v>
      </c>
      <c r="Y32" s="2"/>
    </row>
    <row r="33" spans="1:25" s="12" customFormat="1" x14ac:dyDescent="0.35">
      <c r="A33" s="1175" t="s">
        <v>177</v>
      </c>
      <c r="B33" s="1176"/>
      <c r="C33" s="1176"/>
      <c r="D33" s="1177"/>
      <c r="E33" s="1178"/>
      <c r="F33" s="1179"/>
      <c r="G33" s="1179"/>
      <c r="H33" s="1179"/>
      <c r="I33" s="1179"/>
      <c r="J33" s="1179"/>
      <c r="K33" s="1179"/>
      <c r="L33" s="1174"/>
      <c r="M33" s="1180"/>
      <c r="N33" s="2"/>
      <c r="O33" s="47"/>
      <c r="P33" s="47"/>
      <c r="Q33" s="47"/>
      <c r="R33" s="2"/>
      <c r="S33" s="2"/>
      <c r="T33" s="2"/>
      <c r="U33" s="1199" t="s">
        <v>1737</v>
      </c>
      <c r="V33" s="1198" t="s">
        <v>1643</v>
      </c>
      <c r="W33" s="1200" t="s">
        <v>1581</v>
      </c>
      <c r="X33" s="1200" t="s">
        <v>1440</v>
      </c>
      <c r="Y33" s="2"/>
    </row>
    <row r="34" spans="1:25" s="13" customFormat="1" ht="30.6" customHeight="1" x14ac:dyDescent="0.25">
      <c r="A34" s="1224" t="s">
        <v>1775</v>
      </c>
      <c r="B34" s="200"/>
      <c r="C34" s="200"/>
      <c r="D34" s="200"/>
      <c r="E34" s="128"/>
      <c r="F34" s="129"/>
      <c r="G34" s="129"/>
      <c r="H34" s="129"/>
      <c r="I34" s="129"/>
      <c r="J34" s="129"/>
      <c r="K34" s="129"/>
      <c r="L34" s="129"/>
      <c r="M34" s="129"/>
      <c r="N34" s="129"/>
      <c r="O34" s="131"/>
      <c r="P34" s="131"/>
      <c r="Q34" s="131"/>
      <c r="R34" s="956"/>
      <c r="S34" s="4"/>
      <c r="T34" s="4"/>
      <c r="U34" s="1199" t="s">
        <v>1738</v>
      </c>
      <c r="V34" s="1198" t="s">
        <v>1644</v>
      </c>
      <c r="W34" s="1200" t="s">
        <v>1582</v>
      </c>
      <c r="X34" s="1200" t="s">
        <v>1441</v>
      </c>
      <c r="Y34" s="4"/>
    </row>
    <row r="35" spans="1:25" s="12" customFormat="1" ht="30" customHeight="1" x14ac:dyDescent="0.25">
      <c r="A35" s="2187" t="s">
        <v>37</v>
      </c>
      <c r="B35" s="1985" t="s">
        <v>7</v>
      </c>
      <c r="C35" s="1985"/>
      <c r="D35" s="1985"/>
      <c r="E35" s="1955" t="s">
        <v>247</v>
      </c>
      <c r="F35" s="2164" t="s">
        <v>32</v>
      </c>
      <c r="G35" s="2164" t="s">
        <v>33</v>
      </c>
      <c r="H35" s="2164" t="s">
        <v>14</v>
      </c>
      <c r="I35" s="2164" t="s">
        <v>15</v>
      </c>
      <c r="J35" s="2164" t="s">
        <v>16</v>
      </c>
      <c r="K35" s="2164" t="s">
        <v>210</v>
      </c>
      <c r="L35" s="2130" t="s">
        <v>1776</v>
      </c>
      <c r="M35" s="2130"/>
      <c r="N35" s="2130"/>
      <c r="O35" s="2130"/>
      <c r="P35" s="47"/>
      <c r="Q35" s="47"/>
      <c r="R35" s="957"/>
      <c r="S35" s="2"/>
      <c r="T35" s="2"/>
      <c r="U35" s="1199" t="s">
        <v>1739</v>
      </c>
      <c r="V35" s="1198" t="s">
        <v>1645</v>
      </c>
      <c r="W35" s="1200" t="s">
        <v>1583</v>
      </c>
      <c r="X35" s="1200" t="s">
        <v>1442</v>
      </c>
      <c r="Y35" s="2"/>
    </row>
    <row r="36" spans="1:25" s="12" customFormat="1" ht="26.65" customHeight="1" x14ac:dyDescent="0.25">
      <c r="A36" s="2187"/>
      <c r="B36" s="1985"/>
      <c r="C36" s="1985"/>
      <c r="D36" s="1985"/>
      <c r="E36" s="1955"/>
      <c r="F36" s="2164"/>
      <c r="G36" s="2164"/>
      <c r="H36" s="2164"/>
      <c r="I36" s="2164"/>
      <c r="J36" s="2164"/>
      <c r="K36" s="2164"/>
      <c r="L36" s="2130"/>
      <c r="M36" s="2130"/>
      <c r="N36" s="2130"/>
      <c r="O36" s="2130"/>
      <c r="P36" s="47"/>
      <c r="Q36" s="47"/>
      <c r="R36" s="958"/>
      <c r="S36" s="2"/>
      <c r="T36" s="2"/>
      <c r="U36" s="1199" t="s">
        <v>1740</v>
      </c>
      <c r="V36" s="1198" t="s">
        <v>1646</v>
      </c>
      <c r="W36" s="1200" t="s">
        <v>1584</v>
      </c>
      <c r="X36" s="1200" t="s">
        <v>1443</v>
      </c>
      <c r="Y36" s="2"/>
    </row>
    <row r="37" spans="1:25" s="1186" customFormat="1" ht="21" customHeight="1" x14ac:dyDescent="0.25">
      <c r="A37" s="1167">
        <v>1</v>
      </c>
      <c r="B37" s="2186">
        <v>2</v>
      </c>
      <c r="C37" s="2186"/>
      <c r="D37" s="2186"/>
      <c r="E37" s="1167">
        <v>3</v>
      </c>
      <c r="F37" s="1184">
        <v>4</v>
      </c>
      <c r="G37" s="1167">
        <v>5</v>
      </c>
      <c r="H37" s="1184">
        <v>6</v>
      </c>
      <c r="I37" s="1167">
        <v>7</v>
      </c>
      <c r="J37" s="1184">
        <v>8</v>
      </c>
      <c r="K37" s="1167">
        <v>9</v>
      </c>
      <c r="L37" s="2130"/>
      <c r="M37" s="2130"/>
      <c r="N37" s="2130"/>
      <c r="O37" s="2130"/>
      <c r="P37" s="1185"/>
      <c r="Q37" s="1185"/>
      <c r="R37" s="22"/>
      <c r="S37" s="22"/>
      <c r="T37" s="22"/>
      <c r="U37" s="1199" t="s">
        <v>1741</v>
      </c>
      <c r="V37" s="1198" t="s">
        <v>1647</v>
      </c>
      <c r="W37" s="1200" t="s">
        <v>1585</v>
      </c>
      <c r="X37" s="1200" t="s">
        <v>1444</v>
      </c>
      <c r="Y37" s="22"/>
    </row>
    <row r="38" spans="1:25" s="12" customFormat="1" ht="74.25" customHeight="1" x14ac:dyDescent="0.25">
      <c r="A38" s="1167">
        <v>1</v>
      </c>
      <c r="B38" s="2159" t="s">
        <v>1414</v>
      </c>
      <c r="C38" s="2159"/>
      <c r="D38" s="2159"/>
      <c r="E38" s="1196">
        <f>F13/E29/6</f>
        <v>9713.9500000000007</v>
      </c>
      <c r="F38" s="1196">
        <f>(F14)/F29/6</f>
        <v>22808.09</v>
      </c>
      <c r="G38" s="1196">
        <f>(F15/(G29+H29)/6)</f>
        <v>13932.44</v>
      </c>
      <c r="H38" s="1196">
        <f>(F16)/I29/6</f>
        <v>13702.74</v>
      </c>
      <c r="I38" s="1196">
        <f>(F17)/J29/6</f>
        <v>10560.18</v>
      </c>
      <c r="J38" s="1196">
        <f>(F18)/K29/6</f>
        <v>7526.87</v>
      </c>
      <c r="K38" s="1196">
        <f>F19/(L29+M29)/6</f>
        <v>7540.49</v>
      </c>
      <c r="L38" s="2130"/>
      <c r="M38" s="2130"/>
      <c r="N38" s="2130"/>
      <c r="O38" s="2130"/>
      <c r="P38" s="47"/>
      <c r="Q38" s="47"/>
      <c r="R38" s="2"/>
      <c r="S38" s="2"/>
      <c r="T38" s="2"/>
      <c r="U38" s="1199" t="s">
        <v>1742</v>
      </c>
      <c r="V38" s="1198" t="s">
        <v>1648</v>
      </c>
      <c r="W38" s="1200" t="s">
        <v>1586</v>
      </c>
      <c r="X38" s="1200" t="s">
        <v>1445</v>
      </c>
      <c r="Y38" s="2"/>
    </row>
    <row r="39" spans="1:25" s="12" customFormat="1" ht="85.5" customHeight="1" x14ac:dyDescent="0.25">
      <c r="A39" s="1167">
        <v>2</v>
      </c>
      <c r="B39" s="2159" t="s">
        <v>1415</v>
      </c>
      <c r="C39" s="2159"/>
      <c r="D39" s="2159"/>
      <c r="E39" s="1196">
        <f>(F13/(N29/R28)/6)</f>
        <v>10826.97</v>
      </c>
      <c r="F39" s="1195"/>
      <c r="G39" s="1195"/>
      <c r="H39" s="1195"/>
      <c r="I39" s="1195"/>
      <c r="J39" s="1195"/>
      <c r="K39" s="1195"/>
      <c r="L39" s="1166"/>
      <c r="M39" s="1166"/>
      <c r="N39" s="1166"/>
      <c r="O39" s="1166"/>
      <c r="P39" s="47"/>
      <c r="Q39" s="47"/>
      <c r="R39" s="2"/>
      <c r="S39" s="2"/>
      <c r="T39" s="2"/>
      <c r="U39" s="1199" t="s">
        <v>1743</v>
      </c>
      <c r="V39" s="1198" t="s">
        <v>1649</v>
      </c>
      <c r="W39" s="1200" t="s">
        <v>1587</v>
      </c>
      <c r="X39" s="1200" t="s">
        <v>1446</v>
      </c>
      <c r="Y39" s="2"/>
    </row>
    <row r="40" spans="1:25" ht="22.5" customHeight="1" x14ac:dyDescent="0.25">
      <c r="A40" s="1222">
        <v>3</v>
      </c>
      <c r="B40" s="2121" t="s">
        <v>1774</v>
      </c>
      <c r="C40" s="2122"/>
      <c r="D40" s="2123"/>
      <c r="E40" s="1223">
        <f>E39*100/E38</f>
        <v>111.5</v>
      </c>
      <c r="U40" s="1208" t="s">
        <v>1744</v>
      </c>
      <c r="V40" s="1198" t="s">
        <v>1650</v>
      </c>
      <c r="W40" s="1200" t="s">
        <v>1588</v>
      </c>
      <c r="X40" s="1200" t="s">
        <v>1447</v>
      </c>
    </row>
    <row r="41" spans="1:25" ht="22.5" customHeight="1" thickBot="1" x14ac:dyDescent="0.3">
      <c r="E41" s="1197"/>
      <c r="U41" s="1208"/>
      <c r="V41" s="1198"/>
      <c r="W41" s="1200"/>
      <c r="X41" s="1200"/>
    </row>
    <row r="42" spans="1:25" s="12" customFormat="1" ht="24.75" customHeight="1" thickBot="1" x14ac:dyDescent="0.35">
      <c r="A42" s="50" t="s">
        <v>2033</v>
      </c>
      <c r="B42" s="50"/>
      <c r="C42" s="50"/>
      <c r="D42" s="11"/>
      <c r="E42" s="6"/>
      <c r="F42" s="4"/>
      <c r="G42" s="4"/>
      <c r="H42" s="4"/>
      <c r="I42" s="4"/>
      <c r="J42" s="2133" t="s">
        <v>936</v>
      </c>
      <c r="K42" s="2134"/>
      <c r="L42" s="2134"/>
      <c r="M42" s="2135"/>
      <c r="N42" s="486"/>
      <c r="O42" s="486"/>
      <c r="P42" s="47"/>
      <c r="Q42" s="47"/>
      <c r="R42" s="2"/>
      <c r="S42" s="2"/>
      <c r="T42" s="2"/>
      <c r="U42" s="1199" t="s">
        <v>1745</v>
      </c>
      <c r="V42" s="1198" t="s">
        <v>1651</v>
      </c>
      <c r="W42" s="1200" t="s">
        <v>1589</v>
      </c>
      <c r="X42" s="1200" t="s">
        <v>1448</v>
      </c>
      <c r="Y42" s="2"/>
    </row>
    <row r="43" spans="1:25" s="12" customFormat="1" ht="21.75" customHeight="1" x14ac:dyDescent="0.25">
      <c r="A43" s="2184" t="s">
        <v>87</v>
      </c>
      <c r="B43" s="2154"/>
      <c r="C43" s="2152" t="s">
        <v>7</v>
      </c>
      <c r="D43" s="2153"/>
      <c r="E43" s="2154"/>
      <c r="F43" s="2139" t="s">
        <v>86</v>
      </c>
      <c r="G43" s="2140"/>
      <c r="H43" s="2182" t="s">
        <v>8</v>
      </c>
      <c r="I43" s="2183"/>
      <c r="J43" s="2131" t="s">
        <v>86</v>
      </c>
      <c r="K43" s="1902"/>
      <c r="L43" s="1902" t="s">
        <v>8</v>
      </c>
      <c r="M43" s="2132"/>
      <c r="P43" s="47"/>
      <c r="Q43" s="47"/>
      <c r="R43" s="2"/>
      <c r="S43" s="2"/>
      <c r="T43" s="2"/>
      <c r="U43" s="1199" t="s">
        <v>1746</v>
      </c>
      <c r="V43" s="1198" t="s">
        <v>1652</v>
      </c>
      <c r="W43" s="1200" t="s">
        <v>1590</v>
      </c>
      <c r="X43" s="1200" t="s">
        <v>1449</v>
      </c>
      <c r="Y43" s="2"/>
    </row>
    <row r="44" spans="1:25" s="12" customFormat="1" ht="34.9" customHeight="1" x14ac:dyDescent="0.25">
      <c r="A44" s="2185"/>
      <c r="B44" s="2157"/>
      <c r="C44" s="2155"/>
      <c r="D44" s="2156"/>
      <c r="E44" s="2157"/>
      <c r="F44" s="143" t="s">
        <v>361</v>
      </c>
      <c r="G44" s="143" t="s">
        <v>333</v>
      </c>
      <c r="H44" s="143" t="s">
        <v>361</v>
      </c>
      <c r="I44" s="144" t="s">
        <v>333</v>
      </c>
      <c r="J44" s="2109" t="s">
        <v>948</v>
      </c>
      <c r="K44" s="2195" t="s">
        <v>952</v>
      </c>
      <c r="L44" s="2128" t="s">
        <v>949</v>
      </c>
      <c r="M44" s="2129" t="s">
        <v>953</v>
      </c>
      <c r="O44" s="2076"/>
      <c r="P44" s="47"/>
      <c r="Q44" s="47"/>
      <c r="R44" s="2"/>
      <c r="S44" s="2"/>
      <c r="T44" s="2"/>
      <c r="U44" s="1199" t="s">
        <v>1747</v>
      </c>
      <c r="V44" s="1198" t="s">
        <v>1653</v>
      </c>
      <c r="W44" s="1200" t="s">
        <v>1591</v>
      </c>
      <c r="X44" s="1200" t="s">
        <v>1450</v>
      </c>
      <c r="Y44" s="2"/>
    </row>
    <row r="45" spans="1:25" s="12" customFormat="1" x14ac:dyDescent="0.25">
      <c r="A45" s="2118">
        <v>1</v>
      </c>
      <c r="B45" s="2119"/>
      <c r="C45" s="2142">
        <v>2</v>
      </c>
      <c r="D45" s="2143"/>
      <c r="E45" s="2143"/>
      <c r="F45" s="537">
        <v>3</v>
      </c>
      <c r="G45" s="162">
        <v>4</v>
      </c>
      <c r="H45" s="537">
        <v>5</v>
      </c>
      <c r="I45" s="145">
        <v>6</v>
      </c>
      <c r="J45" s="2109"/>
      <c r="K45" s="2195"/>
      <c r="L45" s="2095"/>
      <c r="M45" s="2129"/>
      <c r="O45" s="2076"/>
      <c r="P45" s="47"/>
      <c r="Q45" s="47"/>
      <c r="R45" s="2"/>
      <c r="S45" s="2"/>
      <c r="T45" s="2"/>
      <c r="U45" s="1199" t="s">
        <v>1748</v>
      </c>
      <c r="V45" s="1198" t="s">
        <v>1654</v>
      </c>
      <c r="W45" s="1200" t="s">
        <v>1592</v>
      </c>
      <c r="X45" s="1200" t="s">
        <v>1451</v>
      </c>
      <c r="Y45" s="2"/>
    </row>
    <row r="46" spans="1:25" s="12" customFormat="1" ht="33.75" customHeight="1" thickBot="1" x14ac:dyDescent="0.3">
      <c r="A46" s="2193">
        <v>1</v>
      </c>
      <c r="B46" s="2194"/>
      <c r="C46" s="2136" t="s">
        <v>946</v>
      </c>
      <c r="D46" s="2137"/>
      <c r="E46" s="2138"/>
      <c r="F46" s="592">
        <v>0</v>
      </c>
      <c r="G46" s="592">
        <v>0</v>
      </c>
      <c r="H46" s="592">
        <v>70233</v>
      </c>
      <c r="I46" s="593">
        <v>70233</v>
      </c>
      <c r="J46" s="2109"/>
      <c r="K46" s="2195"/>
      <c r="L46" s="2095"/>
      <c r="M46" s="2129"/>
      <c r="O46" s="2076"/>
      <c r="P46" s="47"/>
      <c r="Q46" s="47"/>
      <c r="R46" s="2"/>
      <c r="S46" s="2"/>
      <c r="T46" s="2"/>
      <c r="U46" s="1199" t="s">
        <v>1749</v>
      </c>
      <c r="V46" s="1198" t="s">
        <v>1655</v>
      </c>
      <c r="W46" s="1200" t="s">
        <v>1593</v>
      </c>
      <c r="X46" s="1200" t="s">
        <v>1452</v>
      </c>
      <c r="Y46" s="2"/>
    </row>
    <row r="47" spans="1:25" s="12" customFormat="1" ht="55.5" customHeight="1" x14ac:dyDescent="0.25">
      <c r="A47" s="436" t="s">
        <v>2034</v>
      </c>
      <c r="B47" s="436"/>
      <c r="C47" s="436"/>
      <c r="D47" s="436"/>
      <c r="E47" s="436"/>
      <c r="F47" s="436"/>
      <c r="G47" s="436"/>
      <c r="H47" s="436"/>
      <c r="I47" s="436"/>
      <c r="J47" s="2109"/>
      <c r="K47" s="2195"/>
      <c r="L47" s="2096"/>
      <c r="M47" s="2129"/>
      <c r="O47" s="2076"/>
      <c r="P47" s="47"/>
      <c r="Q47" s="47"/>
      <c r="R47" s="2"/>
      <c r="S47" s="2"/>
      <c r="T47" s="2"/>
      <c r="U47" s="1199" t="s">
        <v>1750</v>
      </c>
      <c r="V47" s="1198" t="s">
        <v>1656</v>
      </c>
      <c r="W47" s="1200" t="s">
        <v>1594</v>
      </c>
      <c r="X47" s="1200" t="s">
        <v>1453</v>
      </c>
      <c r="Y47" s="2"/>
    </row>
    <row r="48" spans="1:25" s="79" customFormat="1" ht="28.5" customHeight="1" thickBot="1" x14ac:dyDescent="0.3">
      <c r="J48" s="229" t="str">
        <f>IF('Звіт   4,5,6'!E43=0,"Дані не введено",IF(OR(AND('Звіт 1,2,3'!F32&gt;0,F46&gt;0),AND('Звіт 1,2,3'!F32=0,F46=0)),"ПРАВДА","ПОМИЛКА"))</f>
        <v>ПРАВДА</v>
      </c>
      <c r="K48" s="421" t="str">
        <f>IF('Звіт   4,5,6'!E43=0,"Дані не введено",IF(OR(AND('Звіт   4,5,6'!D49&gt;0,G46&gt;0),AND('Звіт   4,5,6'!D49=0,G46=0)),"ПРАВДА","ПОМИЛКА"))</f>
        <v>ПРАВДА</v>
      </c>
      <c r="L48" s="421" t="str">
        <f>IF('Звіт   4,5,6'!E43=0,"Дані не введено",IF(OR(AND('Звіт 1,2,3'!G32&gt;0,H46&gt;0),AND('Звіт 1,2,3'!G32=0,H46=0)),"ПРАВДА","ПОМИЛКА"))</f>
        <v>ПРАВДА</v>
      </c>
      <c r="M48" s="228" t="str">
        <f>IF('Звіт   4,5,6'!E43=0,"Дані не введено",IF(OR(AND('Звіт   4,5,6'!E49&gt;0,I46&gt;0),AND('Звіт   4,5,6'!E49=0,I46=0)),"ПРАВДА","ПОМИЛКА"))</f>
        <v>ПРАВДА</v>
      </c>
      <c r="O48" s="422"/>
      <c r="P48" s="77"/>
      <c r="Q48" s="77"/>
      <c r="R48" s="76"/>
      <c r="S48" s="76"/>
      <c r="T48" s="76"/>
      <c r="U48" s="1199" t="s">
        <v>1751</v>
      </c>
      <c r="V48" s="1198" t="s">
        <v>1657</v>
      </c>
      <c r="W48" s="1200" t="s">
        <v>1595</v>
      </c>
      <c r="X48" s="1200" t="s">
        <v>1454</v>
      </c>
      <c r="Y48" s="76"/>
    </row>
    <row r="49" spans="1:25" s="79" customFormat="1" ht="33" customHeight="1" x14ac:dyDescent="0.25">
      <c r="N49" s="76"/>
      <c r="O49" s="77"/>
      <c r="P49" s="77"/>
      <c r="Q49" s="77"/>
      <c r="R49" s="76"/>
      <c r="S49" s="76"/>
      <c r="T49" s="76"/>
      <c r="U49" s="1199" t="s">
        <v>1752</v>
      </c>
      <c r="V49" s="1198" t="s">
        <v>1658</v>
      </c>
      <c r="W49" s="1200" t="s">
        <v>1596</v>
      </c>
      <c r="X49" s="1200" t="s">
        <v>1455</v>
      </c>
      <c r="Y49" s="76"/>
    </row>
    <row r="50" spans="1:25" s="79" customFormat="1" ht="31.5" customHeight="1" x14ac:dyDescent="0.25">
      <c r="B50" s="2141" t="s">
        <v>1383</v>
      </c>
      <c r="C50" s="2141"/>
      <c r="D50" s="2141"/>
      <c r="N50" s="76"/>
      <c r="O50" s="77"/>
      <c r="P50" s="77"/>
      <c r="Q50" s="77"/>
      <c r="R50" s="76"/>
      <c r="S50" s="76"/>
      <c r="T50" s="76"/>
      <c r="U50" s="1199" t="s">
        <v>1753</v>
      </c>
      <c r="V50" s="1198" t="s">
        <v>1659</v>
      </c>
      <c r="W50" s="1200" t="s">
        <v>1597</v>
      </c>
      <c r="X50" s="1200" t="s">
        <v>1456</v>
      </c>
      <c r="Y50" s="76"/>
    </row>
    <row r="51" spans="1:25" s="138" customFormat="1" ht="43.5" customHeight="1" x14ac:dyDescent="0.25">
      <c r="A51" s="929"/>
      <c r="B51" s="2188" t="s">
        <v>1227</v>
      </c>
      <c r="C51" s="2189"/>
      <c r="D51" s="2190"/>
      <c r="E51" s="927">
        <f>E29*100/E28</f>
        <v>99</v>
      </c>
      <c r="F51" s="927">
        <f t="shared" ref="F51:N51" si="3">F29*100/F28</f>
        <v>100</v>
      </c>
      <c r="G51" s="927">
        <f t="shared" si="3"/>
        <v>100</v>
      </c>
      <c r="H51" s="927">
        <f t="shared" si="3"/>
        <v>100</v>
      </c>
      <c r="I51" s="927">
        <f t="shared" si="3"/>
        <v>92</v>
      </c>
      <c r="J51" s="927">
        <f t="shared" si="3"/>
        <v>100</v>
      </c>
      <c r="K51" s="927">
        <f t="shared" si="3"/>
        <v>99</v>
      </c>
      <c r="L51" s="927">
        <f t="shared" si="3"/>
        <v>99</v>
      </c>
      <c r="M51" s="927">
        <f>M29*100/M28</f>
        <v>100</v>
      </c>
      <c r="N51" s="927">
        <f t="shared" si="3"/>
        <v>99</v>
      </c>
      <c r="O51" s="927">
        <f>O29*100/O28</f>
        <v>101</v>
      </c>
      <c r="P51" s="928"/>
      <c r="Q51" s="926"/>
      <c r="R51" s="926"/>
      <c r="U51" s="1199" t="s">
        <v>1754</v>
      </c>
      <c r="V51" s="1198" t="s">
        <v>1660</v>
      </c>
      <c r="W51" s="1200" t="s">
        <v>1598</v>
      </c>
      <c r="X51" s="1200" t="s">
        <v>1457</v>
      </c>
    </row>
    <row r="52" spans="1:25" s="79" customFormat="1" ht="18" customHeight="1" x14ac:dyDescent="0.25">
      <c r="L52" s="100"/>
      <c r="N52" s="76"/>
      <c r="O52" s="77"/>
      <c r="P52" s="77"/>
      <c r="Q52" s="77"/>
      <c r="R52" s="76"/>
      <c r="S52" s="76"/>
      <c r="T52" s="76"/>
      <c r="U52" s="1199" t="s">
        <v>1755</v>
      </c>
      <c r="V52" s="1198" t="s">
        <v>1661</v>
      </c>
      <c r="W52" s="1200" t="s">
        <v>1599</v>
      </c>
      <c r="X52" s="1200" t="s">
        <v>1458</v>
      </c>
      <c r="Y52" s="76"/>
    </row>
    <row r="53" spans="1:25" s="79" customFormat="1" x14ac:dyDescent="0.25">
      <c r="A53" s="101"/>
      <c r="B53" s="102"/>
      <c r="C53" s="103"/>
      <c r="D53" s="76"/>
      <c r="E53" s="80"/>
      <c r="F53" s="80"/>
      <c r="G53" s="80"/>
      <c r="H53" s="76"/>
      <c r="I53" s="76"/>
      <c r="J53" s="76"/>
      <c r="K53" s="76"/>
      <c r="N53" s="76"/>
      <c r="O53" s="77"/>
      <c r="P53" s="77"/>
      <c r="Q53" s="77"/>
      <c r="R53" s="76"/>
      <c r="S53" s="76"/>
      <c r="T53" s="76"/>
      <c r="U53" s="1199" t="s">
        <v>1756</v>
      </c>
      <c r="V53" s="1198" t="s">
        <v>1662</v>
      </c>
      <c r="W53" s="1200" t="s">
        <v>1600</v>
      </c>
      <c r="X53" s="1200" t="s">
        <v>1459</v>
      </c>
      <c r="Y53" s="76"/>
    </row>
    <row r="54" spans="1:25" s="79" customFormat="1" x14ac:dyDescent="0.25">
      <c r="A54" s="101"/>
      <c r="B54" s="102"/>
      <c r="C54" s="103"/>
      <c r="D54" s="76"/>
      <c r="E54" s="80"/>
      <c r="F54" s="80"/>
      <c r="G54" s="80"/>
      <c r="H54" s="76"/>
      <c r="I54" s="76"/>
      <c r="J54" s="76"/>
      <c r="K54" s="76"/>
      <c r="N54" s="76"/>
      <c r="O54" s="77"/>
      <c r="P54" s="77"/>
      <c r="Q54" s="77"/>
      <c r="R54" s="76"/>
      <c r="S54" s="76"/>
      <c r="T54" s="76"/>
      <c r="U54" s="1199" t="s">
        <v>1757</v>
      </c>
      <c r="V54" s="1198" t="s">
        <v>1663</v>
      </c>
      <c r="W54" s="1200" t="s">
        <v>1601</v>
      </c>
      <c r="X54" s="1200" t="s">
        <v>1460</v>
      </c>
      <c r="Y54" s="76"/>
    </row>
    <row r="55" spans="1:25" s="79" customFormat="1" x14ac:dyDescent="0.25">
      <c r="A55" s="101"/>
      <c r="B55" s="102"/>
      <c r="C55" s="103"/>
      <c r="D55" s="76"/>
      <c r="E55" s="80"/>
      <c r="F55" s="80"/>
      <c r="G55" s="80"/>
      <c r="H55" s="76"/>
      <c r="I55" s="76"/>
      <c r="J55" s="76"/>
      <c r="K55" s="76"/>
      <c r="N55" s="76"/>
      <c r="O55" s="77"/>
      <c r="P55" s="77"/>
      <c r="Q55" s="77"/>
      <c r="R55" s="76"/>
      <c r="S55" s="76"/>
      <c r="T55" s="76"/>
      <c r="U55" s="1199" t="s">
        <v>1758</v>
      </c>
      <c r="V55" s="1198" t="s">
        <v>1664</v>
      </c>
      <c r="W55" s="1200" t="s">
        <v>1602</v>
      </c>
      <c r="X55" s="1200" t="s">
        <v>1461</v>
      </c>
      <c r="Y55" s="76"/>
    </row>
    <row r="56" spans="1:25" s="79" customFormat="1" x14ac:dyDescent="0.25">
      <c r="A56" s="101"/>
      <c r="B56" s="102"/>
      <c r="C56" s="103"/>
      <c r="D56" s="76"/>
      <c r="E56" s="80"/>
      <c r="F56" s="80"/>
      <c r="G56" s="80"/>
      <c r="H56" s="76"/>
      <c r="I56" s="76"/>
      <c r="J56" s="76"/>
      <c r="K56" s="76"/>
      <c r="N56" s="76"/>
      <c r="O56" s="77"/>
      <c r="P56" s="77"/>
      <c r="Q56" s="77"/>
      <c r="R56" s="76"/>
      <c r="S56" s="76"/>
      <c r="T56" s="76"/>
      <c r="U56" s="1199" t="s">
        <v>1759</v>
      </c>
      <c r="V56" s="1198" t="s">
        <v>1665</v>
      </c>
      <c r="W56" s="1200" t="s">
        <v>1603</v>
      </c>
      <c r="X56" s="1200" t="s">
        <v>1462</v>
      </c>
      <c r="Y56" s="76"/>
    </row>
    <row r="57" spans="1:25" s="76" customFormat="1" x14ac:dyDescent="0.25">
      <c r="J57" s="81"/>
      <c r="K57" s="81"/>
      <c r="L57" s="100"/>
      <c r="M57" s="79"/>
      <c r="O57" s="77"/>
      <c r="P57" s="77"/>
      <c r="Q57" s="77"/>
      <c r="U57" s="1199" t="s">
        <v>1760</v>
      </c>
      <c r="V57" s="1198" t="s">
        <v>1666</v>
      </c>
      <c r="W57" s="1200" t="s">
        <v>1604</v>
      </c>
      <c r="X57" s="1200" t="s">
        <v>1463</v>
      </c>
    </row>
    <row r="58" spans="1:25" s="76" customFormat="1" ht="25.35" customHeight="1" x14ac:dyDescent="0.25">
      <c r="J58" s="81"/>
      <c r="K58" s="81"/>
      <c r="L58" s="100"/>
      <c r="M58" s="79"/>
      <c r="O58" s="77"/>
      <c r="P58" s="77"/>
      <c r="Q58" s="77"/>
      <c r="U58" s="1199" t="s">
        <v>1761</v>
      </c>
      <c r="V58" s="1198" t="s">
        <v>1667</v>
      </c>
      <c r="W58" s="1200" t="s">
        <v>1605</v>
      </c>
      <c r="X58" s="1200" t="s">
        <v>1464</v>
      </c>
    </row>
    <row r="59" spans="1:25" s="76" customFormat="1" ht="27.6" customHeight="1" x14ac:dyDescent="0.25">
      <c r="J59" s="81"/>
      <c r="K59" s="81"/>
      <c r="L59" s="100"/>
      <c r="M59" s="79"/>
      <c r="O59" s="77"/>
      <c r="P59" s="77"/>
      <c r="Q59" s="77"/>
      <c r="U59" s="1199" t="s">
        <v>1762</v>
      </c>
      <c r="V59" s="1198" t="s">
        <v>1668</v>
      </c>
      <c r="W59" s="1200" t="s">
        <v>1606</v>
      </c>
      <c r="X59" s="1200" t="s">
        <v>1465</v>
      </c>
    </row>
    <row r="60" spans="1:25" s="79" customFormat="1" x14ac:dyDescent="0.25">
      <c r="A60" s="101"/>
      <c r="B60" s="102"/>
      <c r="C60" s="103"/>
      <c r="D60" s="76"/>
      <c r="E60" s="80"/>
      <c r="F60" s="80"/>
      <c r="G60" s="80"/>
      <c r="H60" s="76"/>
      <c r="I60" s="76"/>
      <c r="J60" s="76"/>
      <c r="K60" s="76"/>
      <c r="N60" s="76"/>
      <c r="O60" s="77"/>
      <c r="P60" s="77"/>
      <c r="Q60" s="77"/>
      <c r="R60" s="76"/>
      <c r="S60" s="76"/>
      <c r="T60" s="76"/>
      <c r="U60" s="1199" t="s">
        <v>1763</v>
      </c>
      <c r="V60" s="1198" t="s">
        <v>1669</v>
      </c>
      <c r="W60" s="1200" t="s">
        <v>1607</v>
      </c>
      <c r="X60" s="1200" t="s">
        <v>1466</v>
      </c>
      <c r="Y60" s="76"/>
    </row>
    <row r="61" spans="1:25" s="79" customFormat="1" x14ac:dyDescent="0.25">
      <c r="A61" s="101"/>
      <c r="B61" s="102"/>
      <c r="C61" s="103"/>
      <c r="D61" s="76"/>
      <c r="E61" s="80"/>
      <c r="F61" s="80"/>
      <c r="G61" s="80"/>
      <c r="H61" s="76"/>
      <c r="I61" s="76"/>
      <c r="J61" s="76"/>
      <c r="K61" s="76"/>
      <c r="N61" s="76"/>
      <c r="O61" s="77"/>
      <c r="P61" s="77"/>
      <c r="Q61" s="77"/>
      <c r="R61" s="76"/>
      <c r="S61" s="76"/>
      <c r="T61" s="76"/>
      <c r="U61" s="1199" t="s">
        <v>1764</v>
      </c>
      <c r="V61" s="1198" t="s">
        <v>1670</v>
      </c>
      <c r="W61" s="1200" t="s">
        <v>1608</v>
      </c>
      <c r="X61" s="1200" t="s">
        <v>1467</v>
      </c>
      <c r="Y61" s="76"/>
    </row>
    <row r="62" spans="1:25" s="79" customFormat="1" x14ac:dyDescent="0.25">
      <c r="A62" s="101"/>
      <c r="B62" s="102"/>
      <c r="C62" s="103"/>
      <c r="D62" s="76"/>
      <c r="E62" s="80"/>
      <c r="F62" s="80"/>
      <c r="G62" s="80"/>
      <c r="H62" s="76"/>
      <c r="I62" s="76"/>
      <c r="J62" s="76"/>
      <c r="K62" s="76"/>
      <c r="N62" s="76"/>
      <c r="O62" s="77"/>
      <c r="P62" s="77"/>
      <c r="Q62" s="77"/>
      <c r="R62" s="76"/>
      <c r="S62" s="76"/>
      <c r="T62" s="76"/>
      <c r="U62" s="1199" t="s">
        <v>1765</v>
      </c>
      <c r="V62" s="1198" t="s">
        <v>1671</v>
      </c>
      <c r="W62" s="1200" t="s">
        <v>1609</v>
      </c>
      <c r="X62" s="1200" t="s">
        <v>1468</v>
      </c>
      <c r="Y62" s="76"/>
    </row>
    <row r="63" spans="1:25" s="79" customFormat="1" x14ac:dyDescent="0.25">
      <c r="A63" s="101"/>
      <c r="B63" s="102"/>
      <c r="C63" s="103"/>
      <c r="D63" s="76"/>
      <c r="E63" s="80"/>
      <c r="F63" s="80"/>
      <c r="G63" s="80"/>
      <c r="H63" s="76"/>
      <c r="I63" s="76"/>
      <c r="J63" s="76"/>
      <c r="K63" s="76"/>
      <c r="N63" s="76"/>
      <c r="O63" s="77"/>
      <c r="P63" s="77"/>
      <c r="Q63" s="77"/>
      <c r="R63" s="76"/>
      <c r="S63" s="76"/>
      <c r="T63" s="76"/>
      <c r="U63" s="1199" t="s">
        <v>1766</v>
      </c>
      <c r="V63" s="1198" t="s">
        <v>1672</v>
      </c>
      <c r="W63" s="1200" t="s">
        <v>1610</v>
      </c>
      <c r="X63" s="1200" t="s">
        <v>1469</v>
      </c>
      <c r="Y63" s="76"/>
    </row>
    <row r="64" spans="1:25" s="79" customFormat="1" x14ac:dyDescent="0.25">
      <c r="A64" s="101"/>
      <c r="B64" s="102"/>
      <c r="C64" s="103"/>
      <c r="D64" s="76"/>
      <c r="E64" s="80"/>
      <c r="F64" s="80"/>
      <c r="G64" s="80"/>
      <c r="H64" s="76"/>
      <c r="I64" s="76"/>
      <c r="J64" s="76"/>
      <c r="K64" s="76"/>
      <c r="N64" s="76"/>
      <c r="O64" s="77"/>
      <c r="P64" s="77"/>
      <c r="Q64" s="77"/>
      <c r="R64" s="76"/>
      <c r="S64" s="76"/>
      <c r="T64" s="76"/>
      <c r="U64" s="1199" t="s">
        <v>1767</v>
      </c>
      <c r="V64" s="1198" t="s">
        <v>1673</v>
      </c>
      <c r="W64" s="1200" t="s">
        <v>1611</v>
      </c>
      <c r="X64" s="1200" t="s">
        <v>1470</v>
      </c>
      <c r="Y64" s="76"/>
    </row>
    <row r="65" spans="1:24" s="76" customFormat="1" x14ac:dyDescent="0.25">
      <c r="A65" s="101"/>
      <c r="B65" s="102"/>
      <c r="C65" s="103"/>
      <c r="E65" s="80"/>
      <c r="F65" s="80"/>
      <c r="G65" s="80"/>
      <c r="H65" s="81"/>
      <c r="I65" s="81"/>
      <c r="J65" s="81"/>
      <c r="K65" s="81"/>
      <c r="L65" s="100"/>
      <c r="M65" s="79"/>
      <c r="O65" s="77"/>
      <c r="P65" s="77"/>
      <c r="Q65" s="77"/>
      <c r="V65" s="1198" t="s">
        <v>1674</v>
      </c>
      <c r="W65" s="1200" t="s">
        <v>1612</v>
      </c>
      <c r="X65" s="1200" t="s">
        <v>1471</v>
      </c>
    </row>
    <row r="66" spans="1:24" s="76" customFormat="1" x14ac:dyDescent="0.25">
      <c r="A66" s="101"/>
      <c r="B66" s="102"/>
      <c r="C66" s="103"/>
      <c r="E66" s="80"/>
      <c r="F66" s="80"/>
      <c r="G66" s="80"/>
      <c r="H66" s="81"/>
      <c r="I66" s="81"/>
      <c r="J66" s="81"/>
      <c r="K66" s="81"/>
      <c r="L66" s="100"/>
      <c r="M66" s="79"/>
      <c r="O66" s="77"/>
      <c r="P66" s="77"/>
      <c r="Q66" s="77"/>
      <c r="V66" s="1198" t="s">
        <v>1675</v>
      </c>
      <c r="W66" s="1200" t="s">
        <v>1613</v>
      </c>
      <c r="X66" s="1200" t="s">
        <v>1472</v>
      </c>
    </row>
    <row r="67" spans="1:24" s="76" customFormat="1" x14ac:dyDescent="0.25">
      <c r="A67" s="101"/>
      <c r="B67" s="102"/>
      <c r="C67" s="103"/>
      <c r="E67" s="80"/>
      <c r="F67" s="80"/>
      <c r="G67" s="80"/>
      <c r="H67" s="81"/>
      <c r="I67" s="81"/>
      <c r="J67" s="81"/>
      <c r="K67" s="81"/>
      <c r="L67" s="100"/>
      <c r="M67" s="79"/>
      <c r="O67" s="77"/>
      <c r="P67" s="77"/>
      <c r="Q67" s="77"/>
      <c r="V67" s="1198" t="s">
        <v>1676</v>
      </c>
      <c r="W67" s="1200" t="s">
        <v>1614</v>
      </c>
      <c r="X67" s="1200" t="s">
        <v>1473</v>
      </c>
    </row>
    <row r="68" spans="1:24" s="76" customFormat="1" x14ac:dyDescent="0.25">
      <c r="A68" s="101"/>
      <c r="B68" s="102"/>
      <c r="C68" s="103"/>
      <c r="E68" s="80"/>
      <c r="F68" s="80"/>
      <c r="G68" s="80"/>
      <c r="H68" s="81"/>
      <c r="I68" s="81"/>
      <c r="J68" s="81"/>
      <c r="K68" s="81"/>
      <c r="L68" s="100"/>
      <c r="M68" s="79"/>
      <c r="O68" s="77"/>
      <c r="P68" s="77"/>
      <c r="Q68" s="77"/>
      <c r="V68" s="1198" t="s">
        <v>1677</v>
      </c>
      <c r="W68" s="1200" t="s">
        <v>1615</v>
      </c>
      <c r="X68" s="1200" t="s">
        <v>1474</v>
      </c>
    </row>
    <row r="69" spans="1:24" s="76" customFormat="1" x14ac:dyDescent="0.25">
      <c r="A69" s="101"/>
      <c r="B69" s="102"/>
      <c r="C69" s="103"/>
      <c r="E69" s="80"/>
      <c r="F69" s="80"/>
      <c r="G69" s="80"/>
      <c r="H69" s="81"/>
      <c r="I69" s="81"/>
      <c r="J69" s="81"/>
      <c r="K69" s="81"/>
      <c r="L69" s="100"/>
      <c r="M69" s="79"/>
      <c r="O69" s="77"/>
      <c r="P69" s="77"/>
      <c r="Q69" s="77"/>
      <c r="V69" s="1198" t="s">
        <v>1678</v>
      </c>
      <c r="W69" s="1200" t="s">
        <v>1616</v>
      </c>
      <c r="X69" s="1200" t="s">
        <v>1475</v>
      </c>
    </row>
    <row r="70" spans="1:24" s="76" customFormat="1" x14ac:dyDescent="0.25">
      <c r="A70" s="101"/>
      <c r="B70" s="102"/>
      <c r="C70" s="103"/>
      <c r="E70" s="80"/>
      <c r="F70" s="80"/>
      <c r="G70" s="80"/>
      <c r="H70" s="81"/>
      <c r="I70" s="81"/>
      <c r="J70" s="81"/>
      <c r="K70" s="81"/>
      <c r="L70" s="100"/>
      <c r="M70" s="79"/>
      <c r="O70" s="77"/>
      <c r="P70" s="77"/>
      <c r="Q70" s="77"/>
      <c r="V70" s="1198" t="s">
        <v>1679</v>
      </c>
      <c r="W70" s="1200" t="s">
        <v>1617</v>
      </c>
      <c r="X70" s="1200" t="s">
        <v>1476</v>
      </c>
    </row>
    <row r="71" spans="1:24" s="76" customFormat="1" x14ac:dyDescent="0.25">
      <c r="A71" s="101"/>
      <c r="B71" s="102"/>
      <c r="C71" s="103"/>
      <c r="E71" s="80"/>
      <c r="F71" s="80"/>
      <c r="G71" s="80"/>
      <c r="H71" s="81"/>
      <c r="I71" s="81"/>
      <c r="J71" s="81"/>
      <c r="K71" s="81"/>
      <c r="L71" s="100"/>
      <c r="M71" s="79"/>
      <c r="O71" s="77"/>
      <c r="P71" s="77"/>
      <c r="Q71" s="77"/>
      <c r="V71" s="1198" t="s">
        <v>1680</v>
      </c>
      <c r="W71" s="1200" t="s">
        <v>1618</v>
      </c>
      <c r="X71" s="1200" t="s">
        <v>1477</v>
      </c>
    </row>
    <row r="72" spans="1:24" s="76" customFormat="1" x14ac:dyDescent="0.25">
      <c r="A72" s="101"/>
      <c r="B72" s="102"/>
      <c r="C72" s="103"/>
      <c r="E72" s="80"/>
      <c r="F72" s="80"/>
      <c r="G72" s="80"/>
      <c r="H72" s="81"/>
      <c r="I72" s="81"/>
      <c r="J72" s="81"/>
      <c r="K72" s="81"/>
      <c r="L72" s="100"/>
      <c r="M72" s="79"/>
      <c r="O72" s="77"/>
      <c r="P72" s="77"/>
      <c r="Q72" s="77"/>
      <c r="V72" s="1198" t="s">
        <v>1681</v>
      </c>
      <c r="W72" s="1201"/>
      <c r="X72" s="1200" t="s">
        <v>1478</v>
      </c>
    </row>
    <row r="73" spans="1:24" s="76" customFormat="1" x14ac:dyDescent="0.25">
      <c r="A73" s="101"/>
      <c r="B73" s="102"/>
      <c r="C73" s="103"/>
      <c r="E73" s="80"/>
      <c r="F73" s="80"/>
      <c r="G73" s="80"/>
      <c r="H73" s="81"/>
      <c r="I73" s="81"/>
      <c r="J73" s="81"/>
      <c r="K73" s="81"/>
      <c r="L73" s="100"/>
      <c r="M73" s="79"/>
      <c r="O73" s="77"/>
      <c r="P73" s="77"/>
      <c r="Q73" s="77"/>
      <c r="V73" s="1198" t="s">
        <v>1682</v>
      </c>
      <c r="W73" s="1201"/>
      <c r="X73" s="1200" t="s">
        <v>1479</v>
      </c>
    </row>
    <row r="74" spans="1:24" s="76" customFormat="1" x14ac:dyDescent="0.25">
      <c r="A74" s="101"/>
      <c r="B74" s="102"/>
      <c r="C74" s="103"/>
      <c r="E74" s="80"/>
      <c r="F74" s="80"/>
      <c r="G74" s="80"/>
      <c r="H74" s="81"/>
      <c r="I74" s="81"/>
      <c r="J74" s="81"/>
      <c r="K74" s="81"/>
      <c r="L74" s="100"/>
      <c r="M74" s="79"/>
      <c r="O74" s="77"/>
      <c r="P74" s="77"/>
      <c r="Q74" s="77"/>
      <c r="V74" s="1198" t="s">
        <v>1683</v>
      </c>
      <c r="W74" s="1201"/>
      <c r="X74" s="1200" t="s">
        <v>1480</v>
      </c>
    </row>
    <row r="75" spans="1:24" s="76" customFormat="1" x14ac:dyDescent="0.25">
      <c r="A75" s="101"/>
      <c r="B75" s="102"/>
      <c r="C75" s="103"/>
      <c r="E75" s="80"/>
      <c r="F75" s="80"/>
      <c r="G75" s="80"/>
      <c r="H75" s="81"/>
      <c r="I75" s="81"/>
      <c r="J75" s="81"/>
      <c r="K75" s="81"/>
      <c r="L75" s="100"/>
      <c r="M75" s="79"/>
      <c r="O75" s="77"/>
      <c r="P75" s="77"/>
      <c r="Q75" s="77"/>
      <c r="V75" s="1198" t="s">
        <v>1684</v>
      </c>
      <c r="W75" s="1201"/>
      <c r="X75" s="1200" t="s">
        <v>1481</v>
      </c>
    </row>
    <row r="76" spans="1:24" s="76" customFormat="1" x14ac:dyDescent="0.25">
      <c r="A76" s="101"/>
      <c r="B76" s="102"/>
      <c r="C76" s="103"/>
      <c r="E76" s="80"/>
      <c r="F76" s="80"/>
      <c r="G76" s="80"/>
      <c r="H76" s="81"/>
      <c r="I76" s="81"/>
      <c r="J76" s="81"/>
      <c r="K76" s="81"/>
      <c r="L76" s="100"/>
      <c r="M76" s="79"/>
      <c r="O76" s="77"/>
      <c r="P76" s="77"/>
      <c r="Q76" s="77"/>
      <c r="V76" s="1198" t="s">
        <v>1685</v>
      </c>
      <c r="W76" s="1201"/>
      <c r="X76" s="1200" t="s">
        <v>1482</v>
      </c>
    </row>
    <row r="77" spans="1:24" s="76" customFormat="1" x14ac:dyDescent="0.25">
      <c r="A77" s="101"/>
      <c r="B77" s="102"/>
      <c r="C77" s="103"/>
      <c r="E77" s="80"/>
      <c r="F77" s="80"/>
      <c r="G77" s="80"/>
      <c r="H77" s="81"/>
      <c r="I77" s="81"/>
      <c r="J77" s="81"/>
      <c r="K77" s="81"/>
      <c r="L77" s="100"/>
      <c r="M77" s="79"/>
      <c r="O77" s="77"/>
      <c r="P77" s="77"/>
      <c r="Q77" s="77"/>
      <c r="V77" s="1198" t="s">
        <v>1686</v>
      </c>
      <c r="W77" s="1201"/>
      <c r="X77" s="1200" t="s">
        <v>1483</v>
      </c>
    </row>
    <row r="78" spans="1:24" s="76" customFormat="1" x14ac:dyDescent="0.25">
      <c r="A78" s="101"/>
      <c r="B78" s="102"/>
      <c r="C78" s="103"/>
      <c r="E78" s="80"/>
      <c r="F78" s="80"/>
      <c r="G78" s="80"/>
      <c r="H78" s="81"/>
      <c r="I78" s="81"/>
      <c r="J78" s="81"/>
      <c r="K78" s="81"/>
      <c r="L78" s="100"/>
      <c r="M78" s="79"/>
      <c r="O78" s="77"/>
      <c r="P78" s="77"/>
      <c r="Q78" s="77"/>
      <c r="V78" s="1198" t="s">
        <v>1687</v>
      </c>
      <c r="W78" s="1201"/>
      <c r="X78" s="1200" t="s">
        <v>1484</v>
      </c>
    </row>
    <row r="79" spans="1:24" s="76" customFormat="1" x14ac:dyDescent="0.25">
      <c r="A79" s="101"/>
      <c r="B79" s="102"/>
      <c r="C79" s="103"/>
      <c r="E79" s="80"/>
      <c r="F79" s="80"/>
      <c r="G79" s="80"/>
      <c r="H79" s="81"/>
      <c r="I79" s="81"/>
      <c r="J79" s="81"/>
      <c r="K79" s="81"/>
      <c r="L79" s="100"/>
      <c r="M79" s="79"/>
      <c r="O79" s="77"/>
      <c r="P79" s="77"/>
      <c r="Q79" s="77"/>
      <c r="V79" s="1198" t="s">
        <v>1688</v>
      </c>
      <c r="W79" s="1201"/>
      <c r="X79" s="1200" t="s">
        <v>1485</v>
      </c>
    </row>
    <row r="80" spans="1:24" s="76" customFormat="1" x14ac:dyDescent="0.25">
      <c r="A80" s="101"/>
      <c r="B80" s="102"/>
      <c r="C80" s="103"/>
      <c r="E80" s="80"/>
      <c r="F80" s="80"/>
      <c r="G80" s="80"/>
      <c r="H80" s="81"/>
      <c r="I80" s="81"/>
      <c r="J80" s="81"/>
      <c r="K80" s="81"/>
      <c r="L80" s="100"/>
      <c r="M80" s="79"/>
      <c r="O80" s="77"/>
      <c r="P80" s="77"/>
      <c r="Q80" s="77"/>
      <c r="V80" s="1198" t="s">
        <v>1689</v>
      </c>
      <c r="W80" s="1201"/>
      <c r="X80" s="1200" t="s">
        <v>1486</v>
      </c>
    </row>
    <row r="81" spans="1:24" s="76" customFormat="1" x14ac:dyDescent="0.25">
      <c r="A81" s="101"/>
      <c r="B81" s="102"/>
      <c r="C81" s="103"/>
      <c r="E81" s="80"/>
      <c r="F81" s="80"/>
      <c r="G81" s="80"/>
      <c r="H81" s="81"/>
      <c r="I81" s="81"/>
      <c r="J81" s="81"/>
      <c r="K81" s="81"/>
      <c r="L81" s="100"/>
      <c r="M81" s="79"/>
      <c r="O81" s="77"/>
      <c r="P81" s="77"/>
      <c r="Q81" s="77"/>
      <c r="V81" s="1198" t="s">
        <v>1690</v>
      </c>
      <c r="W81" s="1201"/>
      <c r="X81" s="1200" t="s">
        <v>1487</v>
      </c>
    </row>
    <row r="82" spans="1:24" s="76" customFormat="1" x14ac:dyDescent="0.25">
      <c r="A82" s="101"/>
      <c r="B82" s="102"/>
      <c r="C82" s="103"/>
      <c r="E82" s="80"/>
      <c r="F82" s="80"/>
      <c r="G82" s="80"/>
      <c r="H82" s="81"/>
      <c r="I82" s="81"/>
      <c r="J82" s="81"/>
      <c r="K82" s="81"/>
      <c r="L82" s="100"/>
      <c r="M82" s="79"/>
      <c r="O82" s="77"/>
      <c r="P82" s="77"/>
      <c r="Q82" s="77"/>
      <c r="V82" s="1198" t="s">
        <v>1691</v>
      </c>
      <c r="W82" s="1201"/>
      <c r="X82" s="1200" t="s">
        <v>1488</v>
      </c>
    </row>
    <row r="83" spans="1:24" s="76" customFormat="1" x14ac:dyDescent="0.25">
      <c r="A83" s="101"/>
      <c r="B83" s="102"/>
      <c r="C83" s="103"/>
      <c r="E83" s="80"/>
      <c r="F83" s="80"/>
      <c r="G83" s="80"/>
      <c r="H83" s="81"/>
      <c r="I83" s="81"/>
      <c r="J83" s="81"/>
      <c r="K83" s="81"/>
      <c r="L83" s="100"/>
      <c r="M83" s="79"/>
      <c r="O83" s="77"/>
      <c r="P83" s="77"/>
      <c r="Q83" s="77"/>
      <c r="V83" s="1198" t="s">
        <v>1692</v>
      </c>
      <c r="W83" s="1201"/>
      <c r="X83" s="1200" t="s">
        <v>1489</v>
      </c>
    </row>
    <row r="84" spans="1:24" s="76" customFormat="1" x14ac:dyDescent="0.25">
      <c r="A84" s="101"/>
      <c r="B84" s="102"/>
      <c r="C84" s="103"/>
      <c r="E84" s="80"/>
      <c r="F84" s="80"/>
      <c r="G84" s="80"/>
      <c r="H84" s="81"/>
      <c r="I84" s="81"/>
      <c r="J84" s="81"/>
      <c r="K84" s="81"/>
      <c r="L84" s="100"/>
      <c r="M84" s="79"/>
      <c r="O84" s="77"/>
      <c r="P84" s="77"/>
      <c r="Q84" s="77"/>
      <c r="V84" s="1198" t="s">
        <v>1693</v>
      </c>
      <c r="X84" s="1200" t="s">
        <v>1490</v>
      </c>
    </row>
    <row r="85" spans="1:24" s="76" customFormat="1" x14ac:dyDescent="0.25">
      <c r="A85" s="101"/>
      <c r="B85" s="102"/>
      <c r="C85" s="103"/>
      <c r="E85" s="80"/>
      <c r="F85" s="80"/>
      <c r="G85" s="80"/>
      <c r="H85" s="81"/>
      <c r="I85" s="81"/>
      <c r="J85" s="81"/>
      <c r="K85" s="81"/>
      <c r="L85" s="100"/>
      <c r="M85" s="79"/>
      <c r="O85" s="77"/>
      <c r="P85" s="77"/>
      <c r="Q85" s="77"/>
      <c r="V85" s="1209" t="s">
        <v>1694</v>
      </c>
      <c r="X85" s="1200" t="s">
        <v>1491</v>
      </c>
    </row>
    <row r="86" spans="1:24" s="76" customFormat="1" x14ac:dyDescent="0.25">
      <c r="A86" s="101"/>
      <c r="B86" s="102"/>
      <c r="C86" s="103"/>
      <c r="E86" s="80"/>
      <c r="F86" s="80"/>
      <c r="G86" s="80"/>
      <c r="H86" s="81"/>
      <c r="I86" s="81"/>
      <c r="J86" s="81"/>
      <c r="K86" s="81"/>
      <c r="L86" s="100"/>
      <c r="M86" s="79"/>
      <c r="O86" s="77"/>
      <c r="P86" s="77"/>
      <c r="Q86" s="77"/>
      <c r="V86" s="1198" t="s">
        <v>1695</v>
      </c>
      <c r="X86" s="1200" t="s">
        <v>1492</v>
      </c>
    </row>
    <row r="87" spans="1:24" s="76" customFormat="1" x14ac:dyDescent="0.25">
      <c r="A87" s="101"/>
      <c r="B87" s="102"/>
      <c r="C87" s="103"/>
      <c r="E87" s="80"/>
      <c r="F87" s="80"/>
      <c r="G87" s="80"/>
      <c r="H87" s="81"/>
      <c r="I87" s="81"/>
      <c r="J87" s="81"/>
      <c r="K87" s="81"/>
      <c r="L87" s="100"/>
      <c r="M87" s="79"/>
      <c r="O87" s="77"/>
      <c r="P87" s="77"/>
      <c r="Q87" s="77"/>
      <c r="V87" s="1198" t="s">
        <v>1696</v>
      </c>
      <c r="X87" s="1200" t="s">
        <v>1493</v>
      </c>
    </row>
    <row r="88" spans="1:24" s="76" customFormat="1" x14ac:dyDescent="0.25">
      <c r="A88" s="101"/>
      <c r="B88" s="102"/>
      <c r="C88" s="103"/>
      <c r="E88" s="80"/>
      <c r="F88" s="80"/>
      <c r="G88" s="80"/>
      <c r="H88" s="81"/>
      <c r="I88" s="81"/>
      <c r="J88" s="81"/>
      <c r="K88" s="81"/>
      <c r="L88" s="100"/>
      <c r="M88" s="79"/>
      <c r="O88" s="77"/>
      <c r="P88" s="77"/>
      <c r="Q88" s="77"/>
      <c r="V88" s="1198" t="s">
        <v>1697</v>
      </c>
      <c r="X88" s="1200" t="s">
        <v>1494</v>
      </c>
    </row>
    <row r="89" spans="1:24" s="76" customFormat="1" x14ac:dyDescent="0.25">
      <c r="A89" s="101"/>
      <c r="B89" s="102"/>
      <c r="C89" s="103"/>
      <c r="E89" s="80"/>
      <c r="F89" s="80"/>
      <c r="G89" s="80"/>
      <c r="H89" s="81"/>
      <c r="I89" s="81"/>
      <c r="J89" s="81"/>
      <c r="K89" s="81"/>
      <c r="L89" s="100"/>
      <c r="M89" s="79"/>
      <c r="O89" s="77"/>
      <c r="P89" s="77"/>
      <c r="Q89" s="77"/>
      <c r="V89" s="1198" t="s">
        <v>1698</v>
      </c>
      <c r="X89" s="1200" t="s">
        <v>1495</v>
      </c>
    </row>
    <row r="90" spans="1:24" s="76" customFormat="1" x14ac:dyDescent="0.25">
      <c r="A90" s="101"/>
      <c r="B90" s="102"/>
      <c r="C90" s="103"/>
      <c r="E90" s="80"/>
      <c r="F90" s="80"/>
      <c r="G90" s="80"/>
      <c r="H90" s="81"/>
      <c r="I90" s="81"/>
      <c r="J90" s="81"/>
      <c r="K90" s="81"/>
      <c r="L90" s="100"/>
      <c r="M90" s="79"/>
      <c r="O90" s="77"/>
      <c r="P90" s="77"/>
      <c r="Q90" s="77"/>
      <c r="V90" s="1198" t="s">
        <v>1699</v>
      </c>
      <c r="X90" s="1200" t="s">
        <v>1496</v>
      </c>
    </row>
    <row r="91" spans="1:24" s="76" customFormat="1" x14ac:dyDescent="0.25">
      <c r="A91" s="101"/>
      <c r="B91" s="102"/>
      <c r="C91" s="103"/>
      <c r="E91" s="80"/>
      <c r="F91" s="80"/>
      <c r="G91" s="80"/>
      <c r="H91" s="81"/>
      <c r="I91" s="81"/>
      <c r="J91" s="81"/>
      <c r="K91" s="81"/>
      <c r="L91" s="100"/>
      <c r="M91" s="79"/>
      <c r="O91" s="77"/>
      <c r="P91" s="77"/>
      <c r="Q91" s="77"/>
      <c r="V91" s="1198" t="s">
        <v>1700</v>
      </c>
      <c r="X91" s="1200" t="s">
        <v>1497</v>
      </c>
    </row>
    <row r="92" spans="1:24" s="76" customFormat="1" x14ac:dyDescent="0.25">
      <c r="A92" s="101"/>
      <c r="B92" s="102"/>
      <c r="C92" s="103"/>
      <c r="E92" s="80"/>
      <c r="F92" s="80"/>
      <c r="G92" s="80"/>
      <c r="H92" s="81"/>
      <c r="I92" s="81"/>
      <c r="J92" s="81"/>
      <c r="K92" s="81"/>
      <c r="L92" s="100"/>
      <c r="M92" s="79"/>
      <c r="O92" s="77"/>
      <c r="P92" s="77"/>
      <c r="Q92" s="77"/>
      <c r="V92" s="1198" t="s">
        <v>1701</v>
      </c>
      <c r="X92" s="1200" t="s">
        <v>1498</v>
      </c>
    </row>
    <row r="93" spans="1:24" s="76" customFormat="1" x14ac:dyDescent="0.25">
      <c r="A93" s="101"/>
      <c r="B93" s="102"/>
      <c r="C93" s="103"/>
      <c r="E93" s="80"/>
      <c r="F93" s="80"/>
      <c r="G93" s="80"/>
      <c r="H93" s="81"/>
      <c r="I93" s="81"/>
      <c r="J93" s="81"/>
      <c r="K93" s="81"/>
      <c r="L93" s="100"/>
      <c r="M93" s="79"/>
      <c r="O93" s="77"/>
      <c r="P93" s="77"/>
      <c r="Q93" s="77"/>
      <c r="V93" s="1198" t="s">
        <v>1702</v>
      </c>
      <c r="X93" s="1200" t="s">
        <v>1499</v>
      </c>
    </row>
    <row r="94" spans="1:24" s="76" customFormat="1" x14ac:dyDescent="0.25">
      <c r="A94" s="101"/>
      <c r="B94" s="102"/>
      <c r="C94" s="103"/>
      <c r="E94" s="80"/>
      <c r="F94" s="80"/>
      <c r="G94" s="80"/>
      <c r="H94" s="81"/>
      <c r="I94" s="81"/>
      <c r="J94" s="81"/>
      <c r="K94" s="81"/>
      <c r="L94" s="100"/>
      <c r="M94" s="79"/>
      <c r="O94" s="77"/>
      <c r="P94" s="77"/>
      <c r="Q94" s="77"/>
      <c r="V94" s="1198" t="s">
        <v>1703</v>
      </c>
      <c r="X94" s="1200" t="s">
        <v>1500</v>
      </c>
    </row>
    <row r="95" spans="1:24" s="76" customFormat="1" x14ac:dyDescent="0.25">
      <c r="A95" s="101"/>
      <c r="B95" s="102"/>
      <c r="C95" s="103"/>
      <c r="E95" s="80"/>
      <c r="F95" s="80"/>
      <c r="G95" s="80"/>
      <c r="H95" s="81"/>
      <c r="I95" s="81"/>
      <c r="J95" s="81"/>
      <c r="K95" s="81"/>
      <c r="L95" s="100"/>
      <c r="M95" s="79"/>
      <c r="O95" s="77"/>
      <c r="P95" s="77"/>
      <c r="Q95" s="77"/>
      <c r="V95" s="1198" t="s">
        <v>1704</v>
      </c>
      <c r="X95" s="1200" t="s">
        <v>1501</v>
      </c>
    </row>
    <row r="96" spans="1:24" s="76" customFormat="1" x14ac:dyDescent="0.25">
      <c r="A96" s="101"/>
      <c r="B96" s="102"/>
      <c r="C96" s="103"/>
      <c r="E96" s="80"/>
      <c r="F96" s="80"/>
      <c r="G96" s="80"/>
      <c r="H96" s="81"/>
      <c r="I96" s="81"/>
      <c r="J96" s="81"/>
      <c r="K96" s="81"/>
      <c r="L96" s="100"/>
      <c r="M96" s="79"/>
      <c r="O96" s="77"/>
      <c r="P96" s="77"/>
      <c r="Q96" s="77"/>
      <c r="V96" s="1198" t="s">
        <v>1705</v>
      </c>
      <c r="X96" s="1200" t="s">
        <v>1502</v>
      </c>
    </row>
    <row r="97" spans="1:24" s="76" customFormat="1" x14ac:dyDescent="0.25">
      <c r="A97" s="101"/>
      <c r="B97" s="102"/>
      <c r="C97" s="103"/>
      <c r="E97" s="80"/>
      <c r="F97" s="80"/>
      <c r="G97" s="80"/>
      <c r="H97" s="81"/>
      <c r="I97" s="81"/>
      <c r="J97" s="81"/>
      <c r="K97" s="81"/>
      <c r="L97" s="100"/>
      <c r="M97" s="79"/>
      <c r="O97" s="77"/>
      <c r="P97" s="77"/>
      <c r="Q97" s="77"/>
      <c r="V97" s="1198" t="s">
        <v>1706</v>
      </c>
      <c r="X97" s="1200" t="s">
        <v>1503</v>
      </c>
    </row>
    <row r="98" spans="1:24" s="76" customFormat="1" x14ac:dyDescent="0.25">
      <c r="A98" s="101"/>
      <c r="B98" s="102"/>
      <c r="C98" s="103"/>
      <c r="E98" s="80"/>
      <c r="F98" s="80"/>
      <c r="G98" s="80"/>
      <c r="H98" s="81"/>
      <c r="I98" s="81"/>
      <c r="J98" s="81"/>
      <c r="K98" s="81"/>
      <c r="L98" s="100"/>
      <c r="M98" s="79"/>
      <c r="O98" s="77"/>
      <c r="P98" s="77"/>
      <c r="Q98" s="77"/>
      <c r="V98" s="1198" t="s">
        <v>1707</v>
      </c>
      <c r="X98" s="1200" t="s">
        <v>1504</v>
      </c>
    </row>
    <row r="99" spans="1:24" s="76" customFormat="1" x14ac:dyDescent="0.25">
      <c r="A99" s="101"/>
      <c r="B99" s="102"/>
      <c r="C99" s="103"/>
      <c r="E99" s="80"/>
      <c r="F99" s="80"/>
      <c r="G99" s="80"/>
      <c r="H99" s="81"/>
      <c r="I99" s="81"/>
      <c r="J99" s="81"/>
      <c r="K99" s="81"/>
      <c r="L99" s="100"/>
      <c r="M99" s="79"/>
      <c r="O99" s="77"/>
      <c r="P99" s="77"/>
      <c r="Q99" s="77"/>
      <c r="V99" s="1198" t="s">
        <v>1708</v>
      </c>
      <c r="X99" s="1200" t="s">
        <v>1505</v>
      </c>
    </row>
    <row r="100" spans="1:24" s="76" customFormat="1" x14ac:dyDescent="0.25">
      <c r="A100" s="101"/>
      <c r="B100" s="102"/>
      <c r="C100" s="103"/>
      <c r="E100" s="80"/>
      <c r="F100" s="80"/>
      <c r="G100" s="80"/>
      <c r="H100" s="81"/>
      <c r="I100" s="81"/>
      <c r="J100" s="81"/>
      <c r="K100" s="81"/>
      <c r="L100" s="100"/>
      <c r="M100" s="79"/>
      <c r="O100" s="77"/>
      <c r="P100" s="77"/>
      <c r="Q100" s="77"/>
      <c r="V100" s="1198" t="s">
        <v>1709</v>
      </c>
      <c r="X100" s="1200" t="s">
        <v>1506</v>
      </c>
    </row>
    <row r="101" spans="1:24" s="76" customFormat="1" x14ac:dyDescent="0.25">
      <c r="A101" s="101"/>
      <c r="B101" s="102"/>
      <c r="C101" s="103"/>
      <c r="E101" s="80"/>
      <c r="F101" s="80"/>
      <c r="G101" s="80"/>
      <c r="H101" s="81"/>
      <c r="I101" s="81"/>
      <c r="J101" s="81"/>
      <c r="K101" s="81"/>
      <c r="L101" s="100"/>
      <c r="M101" s="79"/>
      <c r="O101" s="77"/>
      <c r="P101" s="77"/>
      <c r="Q101" s="77"/>
      <c r="V101" s="1198" t="s">
        <v>1710</v>
      </c>
      <c r="X101" s="1200" t="s">
        <v>1507</v>
      </c>
    </row>
    <row r="102" spans="1:24" s="76" customFormat="1" x14ac:dyDescent="0.25">
      <c r="A102" s="101"/>
      <c r="B102" s="102"/>
      <c r="C102" s="103"/>
      <c r="E102" s="80"/>
      <c r="F102" s="80"/>
      <c r="G102" s="80"/>
      <c r="H102" s="81"/>
      <c r="I102" s="81"/>
      <c r="J102" s="81"/>
      <c r="K102" s="81"/>
      <c r="L102" s="100"/>
      <c r="M102" s="79"/>
      <c r="O102" s="77"/>
      <c r="P102" s="77"/>
      <c r="Q102" s="77"/>
      <c r="V102" s="1198" t="s">
        <v>1711</v>
      </c>
      <c r="X102" s="1200" t="s">
        <v>1508</v>
      </c>
    </row>
    <row r="103" spans="1:24" s="76" customFormat="1" x14ac:dyDescent="0.25">
      <c r="A103" s="101"/>
      <c r="B103" s="102"/>
      <c r="C103" s="103"/>
      <c r="E103" s="80"/>
      <c r="F103" s="80"/>
      <c r="G103" s="80"/>
      <c r="H103" s="81"/>
      <c r="I103" s="81"/>
      <c r="J103" s="81"/>
      <c r="K103" s="81"/>
      <c r="L103" s="100"/>
      <c r="M103" s="79"/>
      <c r="O103" s="77"/>
      <c r="P103" s="77"/>
      <c r="Q103" s="77"/>
      <c r="V103" s="1198" t="s">
        <v>1712</v>
      </c>
      <c r="X103" s="1200" t="s">
        <v>1509</v>
      </c>
    </row>
    <row r="104" spans="1:24" s="76" customFormat="1" x14ac:dyDescent="0.25">
      <c r="A104" s="101"/>
      <c r="B104" s="102"/>
      <c r="C104" s="103"/>
      <c r="E104" s="80"/>
      <c r="F104" s="80"/>
      <c r="G104" s="80"/>
      <c r="H104" s="81"/>
      <c r="I104" s="81"/>
      <c r="J104" s="81"/>
      <c r="K104" s="81"/>
      <c r="L104" s="100"/>
      <c r="M104" s="79"/>
      <c r="O104" s="77"/>
      <c r="P104" s="77"/>
      <c r="Q104" s="77"/>
      <c r="X104" s="1200" t="s">
        <v>1510</v>
      </c>
    </row>
    <row r="105" spans="1:24" s="76" customFormat="1" x14ac:dyDescent="0.25">
      <c r="A105" s="101"/>
      <c r="B105" s="102"/>
      <c r="C105" s="103"/>
      <c r="E105" s="80"/>
      <c r="F105" s="80"/>
      <c r="G105" s="80"/>
      <c r="H105" s="81"/>
      <c r="I105" s="81"/>
      <c r="J105" s="81"/>
      <c r="K105" s="81"/>
      <c r="L105" s="100"/>
      <c r="M105" s="79"/>
      <c r="O105" s="77"/>
      <c r="P105" s="77"/>
      <c r="Q105" s="77"/>
      <c r="X105" s="1200" t="s">
        <v>1511</v>
      </c>
    </row>
    <row r="106" spans="1:24" s="76" customFormat="1" x14ac:dyDescent="0.25">
      <c r="A106" s="101"/>
      <c r="B106" s="102"/>
      <c r="C106" s="103"/>
      <c r="E106" s="80"/>
      <c r="F106" s="80"/>
      <c r="G106" s="80"/>
      <c r="H106" s="81"/>
      <c r="I106" s="81"/>
      <c r="J106" s="81"/>
      <c r="K106" s="81"/>
      <c r="L106" s="100"/>
      <c r="M106" s="79"/>
      <c r="O106" s="77"/>
      <c r="P106" s="77"/>
      <c r="Q106" s="77"/>
      <c r="X106" s="1200" t="s">
        <v>1512</v>
      </c>
    </row>
    <row r="107" spans="1:24" s="76" customFormat="1" x14ac:dyDescent="0.25">
      <c r="A107" s="101"/>
      <c r="B107" s="102"/>
      <c r="C107" s="103"/>
      <c r="E107" s="80"/>
      <c r="F107" s="80"/>
      <c r="G107" s="80"/>
      <c r="H107" s="81"/>
      <c r="I107" s="81"/>
      <c r="J107" s="81"/>
      <c r="K107" s="81"/>
      <c r="L107" s="100"/>
      <c r="M107" s="79"/>
      <c r="O107" s="77"/>
      <c r="P107" s="77"/>
      <c r="Q107" s="77"/>
      <c r="X107" s="1200" t="s">
        <v>1513</v>
      </c>
    </row>
    <row r="108" spans="1:24" s="76" customFormat="1" x14ac:dyDescent="0.25">
      <c r="A108" s="101"/>
      <c r="B108" s="102"/>
      <c r="C108" s="103"/>
      <c r="E108" s="80"/>
      <c r="F108" s="80"/>
      <c r="G108" s="80"/>
      <c r="H108" s="81"/>
      <c r="I108" s="81"/>
      <c r="J108" s="81"/>
      <c r="K108" s="81"/>
      <c r="L108" s="100"/>
      <c r="M108" s="79"/>
      <c r="O108" s="77"/>
      <c r="P108" s="77"/>
      <c r="Q108" s="77"/>
      <c r="X108" s="1200" t="s">
        <v>1514</v>
      </c>
    </row>
    <row r="109" spans="1:24" s="76" customFormat="1" x14ac:dyDescent="0.25">
      <c r="A109" s="101"/>
      <c r="B109" s="102"/>
      <c r="C109" s="103"/>
      <c r="E109" s="80"/>
      <c r="F109" s="80"/>
      <c r="G109" s="80"/>
      <c r="H109" s="81"/>
      <c r="I109" s="81"/>
      <c r="J109" s="81"/>
      <c r="K109" s="81"/>
      <c r="L109" s="100"/>
      <c r="M109" s="79"/>
      <c r="O109" s="77"/>
      <c r="P109" s="77"/>
      <c r="Q109" s="77"/>
      <c r="X109" s="1200" t="s">
        <v>1515</v>
      </c>
    </row>
    <row r="110" spans="1:24" s="76" customFormat="1" x14ac:dyDescent="0.25">
      <c r="A110" s="101"/>
      <c r="B110" s="102"/>
      <c r="C110" s="103"/>
      <c r="E110" s="80"/>
      <c r="F110" s="80"/>
      <c r="G110" s="80"/>
      <c r="H110" s="81"/>
      <c r="I110" s="81"/>
      <c r="J110" s="81"/>
      <c r="K110" s="81"/>
      <c r="L110" s="100"/>
      <c r="M110" s="79"/>
      <c r="O110" s="77"/>
      <c r="P110" s="77"/>
      <c r="Q110" s="77"/>
      <c r="X110" s="1200" t="s">
        <v>1516</v>
      </c>
    </row>
    <row r="111" spans="1:24" s="76" customFormat="1" x14ac:dyDescent="0.25">
      <c r="A111" s="101"/>
      <c r="B111" s="102"/>
      <c r="C111" s="103"/>
      <c r="E111" s="80"/>
      <c r="F111" s="80"/>
      <c r="G111" s="80"/>
      <c r="H111" s="81"/>
      <c r="I111" s="81"/>
      <c r="J111" s="81"/>
      <c r="K111" s="81"/>
      <c r="L111" s="100"/>
      <c r="M111" s="79"/>
      <c r="O111" s="77"/>
      <c r="P111" s="77"/>
      <c r="Q111" s="77"/>
      <c r="X111" s="1200" t="s">
        <v>1517</v>
      </c>
    </row>
    <row r="112" spans="1:24" s="76" customFormat="1" x14ac:dyDescent="0.25">
      <c r="A112" s="101"/>
      <c r="B112" s="102"/>
      <c r="C112" s="103"/>
      <c r="E112" s="80"/>
      <c r="F112" s="80"/>
      <c r="G112" s="80"/>
      <c r="H112" s="81"/>
      <c r="I112" s="81"/>
      <c r="J112" s="81"/>
      <c r="K112" s="81"/>
      <c r="L112" s="100"/>
      <c r="M112" s="79"/>
      <c r="O112" s="77"/>
      <c r="P112" s="77"/>
      <c r="Q112" s="77"/>
      <c r="X112" s="1200" t="s">
        <v>1518</v>
      </c>
    </row>
    <row r="113" spans="1:24" s="76" customFormat="1" x14ac:dyDescent="0.25">
      <c r="A113" s="101"/>
      <c r="B113" s="102"/>
      <c r="C113" s="103"/>
      <c r="E113" s="80"/>
      <c r="F113" s="80"/>
      <c r="G113" s="80"/>
      <c r="H113" s="81"/>
      <c r="I113" s="81"/>
      <c r="J113" s="81"/>
      <c r="K113" s="81"/>
      <c r="L113" s="100"/>
      <c r="M113" s="79"/>
      <c r="O113" s="77"/>
      <c r="P113" s="77"/>
      <c r="Q113" s="77"/>
      <c r="X113" s="1200" t="s">
        <v>1519</v>
      </c>
    </row>
    <row r="114" spans="1:24" s="76" customFormat="1" x14ac:dyDescent="0.25">
      <c r="A114" s="101"/>
      <c r="B114" s="102"/>
      <c r="C114" s="103"/>
      <c r="E114" s="80"/>
      <c r="F114" s="80"/>
      <c r="G114" s="80"/>
      <c r="H114" s="81"/>
      <c r="I114" s="81"/>
      <c r="J114" s="81"/>
      <c r="K114" s="81"/>
      <c r="L114" s="100"/>
      <c r="M114" s="79"/>
      <c r="O114" s="77"/>
      <c r="P114" s="77"/>
      <c r="Q114" s="77"/>
      <c r="X114" s="1200" t="s">
        <v>1520</v>
      </c>
    </row>
    <row r="115" spans="1:24" s="76" customFormat="1" x14ac:dyDescent="0.25">
      <c r="A115" s="101"/>
      <c r="B115" s="102"/>
      <c r="C115" s="103"/>
      <c r="E115" s="80"/>
      <c r="F115" s="80"/>
      <c r="G115" s="80"/>
      <c r="H115" s="81"/>
      <c r="I115" s="81"/>
      <c r="J115" s="81"/>
      <c r="K115" s="81"/>
      <c r="L115" s="100"/>
      <c r="M115" s="79"/>
      <c r="O115" s="77"/>
      <c r="P115" s="77"/>
      <c r="Q115" s="77"/>
      <c r="X115" s="1200" t="s">
        <v>1521</v>
      </c>
    </row>
    <row r="116" spans="1:24" s="76" customFormat="1" x14ac:dyDescent="0.25">
      <c r="A116" s="101"/>
      <c r="B116" s="102"/>
      <c r="C116" s="103"/>
      <c r="E116" s="80"/>
      <c r="F116" s="80"/>
      <c r="G116" s="80"/>
      <c r="H116" s="81"/>
      <c r="I116" s="81"/>
      <c r="J116" s="81"/>
      <c r="K116" s="81"/>
      <c r="L116" s="100"/>
      <c r="M116" s="79"/>
      <c r="O116" s="77"/>
      <c r="P116" s="77"/>
      <c r="Q116" s="77"/>
      <c r="X116" s="1200" t="s">
        <v>1522</v>
      </c>
    </row>
    <row r="117" spans="1:24" s="76" customFormat="1" x14ac:dyDescent="0.25">
      <c r="A117" s="101"/>
      <c r="B117" s="102"/>
      <c r="C117" s="103"/>
      <c r="E117" s="80"/>
      <c r="F117" s="80"/>
      <c r="G117" s="80"/>
      <c r="H117" s="81"/>
      <c r="I117" s="81"/>
      <c r="J117" s="81"/>
      <c r="K117" s="81"/>
      <c r="L117" s="100"/>
      <c r="M117" s="79"/>
      <c r="O117" s="77"/>
      <c r="P117" s="77"/>
      <c r="Q117" s="77"/>
      <c r="X117" s="1200" t="s">
        <v>1523</v>
      </c>
    </row>
    <row r="118" spans="1:24" s="76" customFormat="1" x14ac:dyDescent="0.25">
      <c r="A118" s="101"/>
      <c r="B118" s="102"/>
      <c r="C118" s="103"/>
      <c r="E118" s="80"/>
      <c r="F118" s="80"/>
      <c r="G118" s="80"/>
      <c r="H118" s="81"/>
      <c r="I118" s="81"/>
      <c r="J118" s="81"/>
      <c r="K118" s="81"/>
      <c r="L118" s="100"/>
      <c r="M118" s="79"/>
      <c r="O118" s="77"/>
      <c r="P118" s="77"/>
      <c r="Q118" s="77"/>
      <c r="X118" s="1200" t="s">
        <v>1524</v>
      </c>
    </row>
    <row r="119" spans="1:24" s="76" customFormat="1" x14ac:dyDescent="0.25">
      <c r="A119" s="101"/>
      <c r="B119" s="102"/>
      <c r="C119" s="103"/>
      <c r="E119" s="80"/>
      <c r="F119" s="80"/>
      <c r="G119" s="80"/>
      <c r="H119" s="81"/>
      <c r="I119" s="81"/>
      <c r="J119" s="81"/>
      <c r="K119" s="81"/>
      <c r="L119" s="100"/>
      <c r="M119" s="79"/>
      <c r="O119" s="77"/>
      <c r="P119" s="77"/>
      <c r="Q119" s="77"/>
      <c r="X119" s="1200" t="s">
        <v>1525</v>
      </c>
    </row>
    <row r="120" spans="1:24" s="76" customFormat="1" x14ac:dyDescent="0.25">
      <c r="A120" s="101"/>
      <c r="B120" s="102"/>
      <c r="C120" s="103"/>
      <c r="E120" s="80"/>
      <c r="F120" s="80"/>
      <c r="G120" s="80"/>
      <c r="H120" s="81"/>
      <c r="I120" s="81"/>
      <c r="J120" s="81"/>
      <c r="K120" s="81"/>
      <c r="L120" s="100"/>
      <c r="M120" s="79"/>
      <c r="O120" s="77"/>
      <c r="P120" s="77"/>
      <c r="Q120" s="77"/>
      <c r="X120" s="1200" t="s">
        <v>1526</v>
      </c>
    </row>
    <row r="121" spans="1:24" s="76" customFormat="1" x14ac:dyDescent="0.25">
      <c r="A121" s="101"/>
      <c r="B121" s="102"/>
      <c r="C121" s="103"/>
      <c r="E121" s="80"/>
      <c r="F121" s="80"/>
      <c r="G121" s="80"/>
      <c r="H121" s="81"/>
      <c r="I121" s="81"/>
      <c r="J121" s="81"/>
      <c r="K121" s="81"/>
      <c r="L121" s="100"/>
      <c r="M121" s="79"/>
      <c r="O121" s="77"/>
      <c r="P121" s="77"/>
      <c r="Q121" s="77"/>
      <c r="X121" s="1200" t="s">
        <v>1527</v>
      </c>
    </row>
    <row r="122" spans="1:24" s="76" customFormat="1" x14ac:dyDescent="0.25">
      <c r="A122" s="101"/>
      <c r="B122" s="102"/>
      <c r="C122" s="103"/>
      <c r="E122" s="80"/>
      <c r="F122" s="80"/>
      <c r="G122" s="80"/>
      <c r="H122" s="81"/>
      <c r="I122" s="81"/>
      <c r="J122" s="81"/>
      <c r="K122" s="81"/>
      <c r="L122" s="100"/>
      <c r="M122" s="79"/>
      <c r="O122" s="77"/>
      <c r="P122" s="77"/>
      <c r="Q122" s="77"/>
      <c r="X122" s="1200" t="s">
        <v>1528</v>
      </c>
    </row>
    <row r="123" spans="1:24" s="76" customFormat="1" x14ac:dyDescent="0.25">
      <c r="A123" s="101"/>
      <c r="B123" s="102"/>
      <c r="C123" s="103"/>
      <c r="E123" s="80"/>
      <c r="F123" s="80"/>
      <c r="G123" s="80"/>
      <c r="H123" s="81"/>
      <c r="I123" s="81"/>
      <c r="J123" s="81"/>
      <c r="K123" s="81"/>
      <c r="L123" s="100"/>
      <c r="M123" s="79"/>
      <c r="O123" s="77"/>
      <c r="P123" s="77"/>
      <c r="Q123" s="77"/>
      <c r="X123" s="1200" t="s">
        <v>1529</v>
      </c>
    </row>
    <row r="124" spans="1:24" s="76" customFormat="1" x14ac:dyDescent="0.25">
      <c r="A124" s="101"/>
      <c r="B124" s="102"/>
      <c r="C124" s="103"/>
      <c r="E124" s="80"/>
      <c r="F124" s="80"/>
      <c r="G124" s="80"/>
      <c r="H124" s="81"/>
      <c r="I124" s="81"/>
      <c r="J124" s="81"/>
      <c r="K124" s="81"/>
      <c r="L124" s="100"/>
      <c r="M124" s="79"/>
      <c r="O124" s="77"/>
      <c r="P124" s="77"/>
      <c r="Q124" s="77"/>
      <c r="X124" s="1200" t="s">
        <v>1530</v>
      </c>
    </row>
    <row r="125" spans="1:24" s="76" customFormat="1" x14ac:dyDescent="0.25">
      <c r="A125" s="101"/>
      <c r="B125" s="102"/>
      <c r="C125" s="103"/>
      <c r="E125" s="80"/>
      <c r="F125" s="80"/>
      <c r="G125" s="80"/>
      <c r="H125" s="81"/>
      <c r="I125" s="81"/>
      <c r="J125" s="81"/>
      <c r="K125" s="81"/>
      <c r="L125" s="100"/>
      <c r="M125" s="79"/>
      <c r="O125" s="77"/>
      <c r="P125" s="77"/>
      <c r="Q125" s="77"/>
      <c r="X125" s="1200" t="s">
        <v>1531</v>
      </c>
    </row>
    <row r="126" spans="1:24" s="76" customFormat="1" x14ac:dyDescent="0.25">
      <c r="A126" s="101"/>
      <c r="B126" s="102"/>
      <c r="C126" s="103"/>
      <c r="E126" s="80"/>
      <c r="F126" s="80"/>
      <c r="G126" s="80"/>
      <c r="H126" s="81"/>
      <c r="I126" s="81"/>
      <c r="J126" s="81"/>
      <c r="K126" s="81"/>
      <c r="L126" s="100"/>
      <c r="M126" s="79"/>
      <c r="O126" s="77"/>
      <c r="P126" s="77"/>
      <c r="Q126" s="77"/>
      <c r="X126" s="1200" t="s">
        <v>1532</v>
      </c>
    </row>
    <row r="127" spans="1:24" s="76" customFormat="1" x14ac:dyDescent="0.25">
      <c r="A127" s="101"/>
      <c r="B127" s="102"/>
      <c r="C127" s="103"/>
      <c r="E127" s="80"/>
      <c r="F127" s="80"/>
      <c r="G127" s="80"/>
      <c r="H127" s="81"/>
      <c r="I127" s="81"/>
      <c r="J127" s="81"/>
      <c r="K127" s="81"/>
      <c r="L127" s="100"/>
      <c r="M127" s="79"/>
      <c r="O127" s="77"/>
      <c r="P127" s="77"/>
      <c r="Q127" s="77"/>
      <c r="X127" s="1200" t="s">
        <v>1533</v>
      </c>
    </row>
    <row r="128" spans="1:24" s="76" customFormat="1" x14ac:dyDescent="0.25">
      <c r="A128" s="101"/>
      <c r="B128" s="102"/>
      <c r="C128" s="103"/>
      <c r="E128" s="80"/>
      <c r="F128" s="80"/>
      <c r="G128" s="80"/>
      <c r="H128" s="81"/>
      <c r="I128" s="81"/>
      <c r="J128" s="81"/>
      <c r="K128" s="81"/>
      <c r="L128" s="100"/>
      <c r="M128" s="79"/>
      <c r="O128" s="77"/>
      <c r="P128" s="77"/>
      <c r="Q128" s="77"/>
      <c r="X128" s="1200" t="s">
        <v>1534</v>
      </c>
    </row>
    <row r="129" spans="1:24" s="76" customFormat="1" x14ac:dyDescent="0.25">
      <c r="A129" s="101"/>
      <c r="B129" s="102"/>
      <c r="C129" s="103"/>
      <c r="E129" s="80"/>
      <c r="F129" s="80"/>
      <c r="G129" s="80"/>
      <c r="H129" s="81"/>
      <c r="I129" s="81"/>
      <c r="J129" s="81"/>
      <c r="K129" s="81"/>
      <c r="L129" s="100"/>
      <c r="M129" s="79"/>
      <c r="O129" s="77"/>
      <c r="P129" s="77"/>
      <c r="Q129" s="77"/>
      <c r="X129" s="1200" t="s">
        <v>1535</v>
      </c>
    </row>
    <row r="130" spans="1:24" s="76" customFormat="1" x14ac:dyDescent="0.25">
      <c r="A130" s="101"/>
      <c r="B130" s="102"/>
      <c r="C130" s="103"/>
      <c r="E130" s="80"/>
      <c r="F130" s="80"/>
      <c r="G130" s="80"/>
      <c r="H130" s="81"/>
      <c r="I130" s="81"/>
      <c r="J130" s="81"/>
      <c r="K130" s="81"/>
      <c r="L130" s="100"/>
      <c r="M130" s="79"/>
      <c r="O130" s="77"/>
      <c r="P130" s="77"/>
      <c r="Q130" s="77"/>
      <c r="X130" s="1200" t="s">
        <v>1536</v>
      </c>
    </row>
    <row r="131" spans="1:24" s="76" customFormat="1" x14ac:dyDescent="0.25">
      <c r="A131" s="101"/>
      <c r="B131" s="102"/>
      <c r="C131" s="103"/>
      <c r="E131" s="80"/>
      <c r="F131" s="80"/>
      <c r="G131" s="80"/>
      <c r="H131" s="81"/>
      <c r="I131" s="81"/>
      <c r="J131" s="81"/>
      <c r="K131" s="81"/>
      <c r="L131" s="100"/>
      <c r="M131" s="79"/>
      <c r="O131" s="77"/>
      <c r="P131" s="77"/>
      <c r="Q131" s="77"/>
      <c r="X131" s="1200" t="s">
        <v>1537</v>
      </c>
    </row>
    <row r="132" spans="1:24" s="76" customFormat="1" x14ac:dyDescent="0.25">
      <c r="A132" s="101"/>
      <c r="B132" s="102"/>
      <c r="C132" s="103"/>
      <c r="E132" s="80"/>
      <c r="F132" s="80"/>
      <c r="G132" s="80"/>
      <c r="H132" s="81"/>
      <c r="I132" s="81"/>
      <c r="J132" s="81"/>
      <c r="K132" s="81"/>
      <c r="L132" s="100"/>
      <c r="M132" s="79"/>
      <c r="O132" s="77"/>
      <c r="P132" s="77"/>
      <c r="Q132" s="77"/>
      <c r="X132" s="1200" t="s">
        <v>1538</v>
      </c>
    </row>
    <row r="133" spans="1:24" s="76" customFormat="1" x14ac:dyDescent="0.25">
      <c r="A133" s="101"/>
      <c r="B133" s="102"/>
      <c r="C133" s="103"/>
      <c r="E133" s="80"/>
      <c r="F133" s="80"/>
      <c r="G133" s="80"/>
      <c r="H133" s="81"/>
      <c r="I133" s="81"/>
      <c r="J133" s="81"/>
      <c r="K133" s="81"/>
      <c r="L133" s="100"/>
      <c r="M133" s="79"/>
      <c r="O133" s="77"/>
      <c r="P133" s="77"/>
      <c r="Q133" s="77"/>
      <c r="X133" s="1200" t="s">
        <v>1539</v>
      </c>
    </row>
    <row r="134" spans="1:24" s="76" customFormat="1" x14ac:dyDescent="0.25">
      <c r="A134" s="101"/>
      <c r="B134" s="102"/>
      <c r="C134" s="103"/>
      <c r="E134" s="80"/>
      <c r="F134" s="80"/>
      <c r="G134" s="80"/>
      <c r="H134" s="81"/>
      <c r="I134" s="81"/>
      <c r="J134" s="81"/>
      <c r="K134" s="81"/>
      <c r="L134" s="100"/>
      <c r="M134" s="79"/>
      <c r="O134" s="77"/>
      <c r="P134" s="77"/>
      <c r="Q134" s="77"/>
      <c r="X134" s="1200" t="s">
        <v>1540</v>
      </c>
    </row>
    <row r="135" spans="1:24" s="76" customFormat="1" x14ac:dyDescent="0.25">
      <c r="A135" s="101"/>
      <c r="B135" s="102"/>
      <c r="C135" s="103"/>
      <c r="E135" s="80"/>
      <c r="F135" s="80"/>
      <c r="G135" s="80"/>
      <c r="H135" s="81"/>
      <c r="I135" s="81"/>
      <c r="J135" s="81"/>
      <c r="K135" s="81"/>
      <c r="L135" s="100"/>
      <c r="M135" s="79"/>
      <c r="O135" s="77"/>
      <c r="P135" s="77"/>
      <c r="Q135" s="77"/>
      <c r="X135" s="1200" t="s">
        <v>1541</v>
      </c>
    </row>
    <row r="136" spans="1:24" s="76" customFormat="1" x14ac:dyDescent="0.25">
      <c r="A136" s="101"/>
      <c r="B136" s="102"/>
      <c r="C136" s="103"/>
      <c r="E136" s="80"/>
      <c r="F136" s="80"/>
      <c r="G136" s="80"/>
      <c r="H136" s="81"/>
      <c r="I136" s="81"/>
      <c r="J136" s="81"/>
      <c r="K136" s="81"/>
      <c r="L136" s="100"/>
      <c r="M136" s="79"/>
      <c r="O136" s="77"/>
      <c r="P136" s="77"/>
      <c r="Q136" s="77"/>
      <c r="X136" s="1200" t="s">
        <v>1542</v>
      </c>
    </row>
    <row r="137" spans="1:24" s="76" customFormat="1" x14ac:dyDescent="0.25">
      <c r="A137" s="101"/>
      <c r="B137" s="102"/>
      <c r="C137" s="103"/>
      <c r="E137" s="80"/>
      <c r="F137" s="80"/>
      <c r="G137" s="80"/>
      <c r="H137" s="81"/>
      <c r="I137" s="81"/>
      <c r="J137" s="81"/>
      <c r="K137" s="81"/>
      <c r="L137" s="100"/>
      <c r="M137" s="79"/>
      <c r="O137" s="77"/>
      <c r="P137" s="77"/>
      <c r="Q137" s="77"/>
      <c r="X137" s="1200" t="s">
        <v>1543</v>
      </c>
    </row>
    <row r="138" spans="1:24" s="76" customFormat="1" x14ac:dyDescent="0.25">
      <c r="A138" s="101"/>
      <c r="B138" s="102"/>
      <c r="C138" s="103"/>
      <c r="E138" s="80"/>
      <c r="F138" s="80"/>
      <c r="G138" s="80"/>
      <c r="H138" s="81"/>
      <c r="I138" s="81"/>
      <c r="J138" s="81"/>
      <c r="K138" s="81"/>
      <c r="L138" s="100"/>
      <c r="M138" s="79"/>
      <c r="O138" s="77"/>
      <c r="P138" s="77"/>
      <c r="Q138" s="77"/>
      <c r="X138" s="1200" t="s">
        <v>1544</v>
      </c>
    </row>
    <row r="139" spans="1:24" s="76" customFormat="1" x14ac:dyDescent="0.25">
      <c r="A139" s="101"/>
      <c r="B139" s="102"/>
      <c r="C139" s="103"/>
      <c r="E139" s="80"/>
      <c r="F139" s="80"/>
      <c r="G139" s="80"/>
      <c r="H139" s="81"/>
      <c r="I139" s="81"/>
      <c r="J139" s="81"/>
      <c r="K139" s="81"/>
      <c r="L139" s="100"/>
      <c r="M139" s="79"/>
      <c r="O139" s="77"/>
      <c r="P139" s="77"/>
      <c r="Q139" s="77"/>
      <c r="X139" s="1200" t="s">
        <v>1545</v>
      </c>
    </row>
    <row r="140" spans="1:24" s="76" customFormat="1" x14ac:dyDescent="0.25">
      <c r="A140" s="101"/>
      <c r="B140" s="102"/>
      <c r="C140" s="103"/>
      <c r="E140" s="80"/>
      <c r="F140" s="80"/>
      <c r="G140" s="80"/>
      <c r="H140" s="81"/>
      <c r="I140" s="81"/>
      <c r="J140" s="81"/>
      <c r="K140" s="81"/>
      <c r="L140" s="100"/>
      <c r="M140" s="79"/>
      <c r="O140" s="77"/>
      <c r="P140" s="77"/>
      <c r="Q140" s="77"/>
      <c r="X140" s="1200" t="s">
        <v>1546</v>
      </c>
    </row>
    <row r="141" spans="1:24" s="76" customFormat="1" x14ac:dyDescent="0.25">
      <c r="A141" s="101"/>
      <c r="B141" s="102"/>
      <c r="C141" s="103"/>
      <c r="E141" s="80"/>
      <c r="F141" s="80"/>
      <c r="G141" s="80"/>
      <c r="H141" s="81"/>
      <c r="I141" s="81"/>
      <c r="J141" s="81"/>
      <c r="K141" s="81"/>
      <c r="L141" s="100"/>
      <c r="M141" s="79"/>
      <c r="O141" s="77"/>
      <c r="P141" s="77"/>
      <c r="Q141" s="77"/>
      <c r="X141" s="1200" t="s">
        <v>1547</v>
      </c>
    </row>
    <row r="142" spans="1:24" s="76" customFormat="1" x14ac:dyDescent="0.25">
      <c r="A142" s="101"/>
      <c r="B142" s="102"/>
      <c r="C142" s="103"/>
      <c r="E142" s="80"/>
      <c r="F142" s="80"/>
      <c r="G142" s="80"/>
      <c r="H142" s="81"/>
      <c r="I142" s="81"/>
      <c r="J142" s="81"/>
      <c r="K142" s="81"/>
      <c r="L142" s="100"/>
      <c r="M142" s="79"/>
      <c r="O142" s="77"/>
      <c r="P142" s="77"/>
      <c r="Q142" s="77"/>
      <c r="X142" s="1200" t="s">
        <v>1548</v>
      </c>
    </row>
    <row r="143" spans="1:24" s="76" customFormat="1" x14ac:dyDescent="0.25">
      <c r="A143" s="101"/>
      <c r="B143" s="102"/>
      <c r="C143" s="103"/>
      <c r="E143" s="80"/>
      <c r="F143" s="80"/>
      <c r="G143" s="80"/>
      <c r="H143" s="81"/>
      <c r="I143" s="81"/>
      <c r="J143" s="81"/>
      <c r="K143" s="81"/>
      <c r="L143" s="100"/>
      <c r="M143" s="79"/>
      <c r="O143" s="77"/>
      <c r="P143" s="77"/>
      <c r="Q143" s="77"/>
      <c r="X143" s="1200" t="s">
        <v>1549</v>
      </c>
    </row>
    <row r="144" spans="1:24" s="76" customFormat="1" x14ac:dyDescent="0.25">
      <c r="A144" s="101"/>
      <c r="B144" s="102"/>
      <c r="C144" s="103"/>
      <c r="E144" s="80"/>
      <c r="F144" s="80"/>
      <c r="G144" s="80"/>
      <c r="H144" s="81"/>
      <c r="I144" s="81"/>
      <c r="J144" s="81"/>
      <c r="K144" s="81"/>
      <c r="L144" s="100"/>
      <c r="M144" s="79"/>
      <c r="O144" s="77"/>
      <c r="P144" s="77"/>
      <c r="Q144" s="77"/>
      <c r="X144" s="1200" t="s">
        <v>1550</v>
      </c>
    </row>
    <row r="145" spans="1:24" s="76" customFormat="1" x14ac:dyDescent="0.25">
      <c r="A145" s="101"/>
      <c r="B145" s="102"/>
      <c r="C145" s="103"/>
      <c r="E145" s="80"/>
      <c r="F145" s="80"/>
      <c r="G145" s="80"/>
      <c r="H145" s="81"/>
      <c r="I145" s="81"/>
      <c r="J145" s="81"/>
      <c r="K145" s="81"/>
      <c r="L145" s="100"/>
      <c r="M145" s="79"/>
      <c r="O145" s="77"/>
      <c r="P145" s="77"/>
      <c r="Q145" s="77"/>
      <c r="X145" s="1200" t="s">
        <v>1551</v>
      </c>
    </row>
    <row r="146" spans="1:24" s="76" customFormat="1" x14ac:dyDescent="0.25">
      <c r="A146" s="101"/>
      <c r="B146" s="102"/>
      <c r="C146" s="103"/>
      <c r="E146" s="80"/>
      <c r="F146" s="80"/>
      <c r="G146" s="80"/>
      <c r="H146" s="81"/>
      <c r="I146" s="81"/>
      <c r="J146" s="81"/>
      <c r="K146" s="81"/>
      <c r="L146" s="100"/>
      <c r="M146" s="79"/>
      <c r="O146" s="77"/>
      <c r="P146" s="77"/>
      <c r="Q146" s="77"/>
      <c r="X146" s="1200" t="s">
        <v>1552</v>
      </c>
    </row>
    <row r="147" spans="1:24" s="76" customFormat="1" x14ac:dyDescent="0.25">
      <c r="A147" s="101"/>
      <c r="B147" s="102"/>
      <c r="C147" s="103"/>
      <c r="E147" s="80"/>
      <c r="F147" s="80"/>
      <c r="G147" s="80"/>
      <c r="H147" s="81"/>
      <c r="I147" s="81"/>
      <c r="J147" s="81"/>
      <c r="K147" s="81"/>
      <c r="L147" s="100"/>
      <c r="M147" s="79"/>
      <c r="O147" s="77"/>
      <c r="P147" s="77"/>
      <c r="Q147" s="77"/>
      <c r="X147" s="1200" t="s">
        <v>1553</v>
      </c>
    </row>
    <row r="148" spans="1:24" s="76" customFormat="1" x14ac:dyDescent="0.25">
      <c r="A148" s="101"/>
      <c r="B148" s="102"/>
      <c r="C148" s="103"/>
      <c r="E148" s="80"/>
      <c r="F148" s="80"/>
      <c r="G148" s="80"/>
      <c r="H148" s="81"/>
      <c r="I148" s="81"/>
      <c r="J148" s="81"/>
      <c r="K148" s="81"/>
      <c r="L148" s="100"/>
      <c r="M148" s="79"/>
      <c r="O148" s="77"/>
      <c r="P148" s="77"/>
      <c r="Q148" s="77"/>
      <c r="X148" s="1200" t="s">
        <v>1554</v>
      </c>
    </row>
    <row r="149" spans="1:24" s="76" customFormat="1" x14ac:dyDescent="0.25">
      <c r="A149" s="101"/>
      <c r="B149" s="102"/>
      <c r="C149" s="103"/>
      <c r="E149" s="80"/>
      <c r="F149" s="80"/>
      <c r="G149" s="80"/>
      <c r="H149" s="81"/>
      <c r="I149" s="81"/>
      <c r="J149" s="81"/>
      <c r="K149" s="81"/>
      <c r="L149" s="100"/>
      <c r="M149" s="79"/>
      <c r="O149" s="77"/>
      <c r="P149" s="77"/>
      <c r="Q149" s="77"/>
      <c r="X149" s="1200" t="s">
        <v>1555</v>
      </c>
    </row>
    <row r="150" spans="1:24" s="76" customFormat="1" x14ac:dyDescent="0.25">
      <c r="A150" s="101"/>
      <c r="B150" s="102"/>
      <c r="C150" s="103"/>
      <c r="E150" s="80"/>
      <c r="F150" s="80"/>
      <c r="G150" s="80"/>
      <c r="H150" s="81"/>
      <c r="I150" s="81"/>
      <c r="J150" s="81"/>
      <c r="K150" s="81"/>
      <c r="L150" s="100"/>
      <c r="M150" s="79"/>
      <c r="O150" s="77"/>
      <c r="P150" s="77"/>
      <c r="Q150" s="77"/>
      <c r="X150" s="1200" t="s">
        <v>1556</v>
      </c>
    </row>
    <row r="151" spans="1:24" s="76" customFormat="1" x14ac:dyDescent="0.25">
      <c r="A151" s="101"/>
      <c r="B151" s="102"/>
      <c r="C151" s="103"/>
      <c r="E151" s="80"/>
      <c r="F151" s="80"/>
      <c r="G151" s="80"/>
      <c r="H151" s="81"/>
      <c r="I151" s="81"/>
      <c r="J151" s="81"/>
      <c r="K151" s="81"/>
      <c r="L151" s="100"/>
      <c r="M151" s="79"/>
      <c r="O151" s="77"/>
      <c r="P151" s="77"/>
      <c r="Q151" s="77"/>
      <c r="X151" s="1201"/>
    </row>
    <row r="152" spans="1:24" s="76" customFormat="1" x14ac:dyDescent="0.25">
      <c r="A152" s="101"/>
      <c r="B152" s="102"/>
      <c r="C152" s="103"/>
      <c r="E152" s="80"/>
      <c r="F152" s="80"/>
      <c r="G152" s="80"/>
      <c r="H152" s="81"/>
      <c r="I152" s="81"/>
      <c r="J152" s="81"/>
      <c r="K152" s="81"/>
      <c r="L152" s="100"/>
      <c r="M152" s="79"/>
      <c r="O152" s="77"/>
      <c r="P152" s="77"/>
      <c r="Q152" s="77"/>
      <c r="X152" s="1201"/>
    </row>
    <row r="153" spans="1:24" s="76" customFormat="1" x14ac:dyDescent="0.25">
      <c r="A153" s="101"/>
      <c r="B153" s="102"/>
      <c r="C153" s="103"/>
      <c r="E153" s="80"/>
      <c r="F153" s="80"/>
      <c r="G153" s="80"/>
      <c r="H153" s="81"/>
      <c r="I153" s="81"/>
      <c r="J153" s="81"/>
      <c r="K153" s="81"/>
      <c r="L153" s="100"/>
      <c r="M153" s="79"/>
      <c r="O153" s="77"/>
      <c r="P153" s="77"/>
      <c r="Q153" s="77"/>
      <c r="X153" s="1201"/>
    </row>
    <row r="154" spans="1:24" s="76" customFormat="1" x14ac:dyDescent="0.25">
      <c r="A154" s="101"/>
      <c r="B154" s="102"/>
      <c r="C154" s="103"/>
      <c r="E154" s="80"/>
      <c r="F154" s="80"/>
      <c r="G154" s="80"/>
      <c r="H154" s="81"/>
      <c r="I154" s="81"/>
      <c r="J154" s="81"/>
      <c r="K154" s="81"/>
      <c r="L154" s="100"/>
      <c r="M154" s="79"/>
      <c r="O154" s="77"/>
      <c r="P154" s="77"/>
      <c r="Q154" s="77"/>
      <c r="X154" s="1201"/>
    </row>
    <row r="155" spans="1:24" s="76" customFormat="1" x14ac:dyDescent="0.25">
      <c r="A155" s="101"/>
      <c r="B155" s="102"/>
      <c r="C155" s="103"/>
      <c r="E155" s="80"/>
      <c r="F155" s="80"/>
      <c r="G155" s="80"/>
      <c r="H155" s="81"/>
      <c r="I155" s="81"/>
      <c r="J155" s="81"/>
      <c r="K155" s="81"/>
      <c r="L155" s="100"/>
      <c r="M155" s="79"/>
      <c r="O155" s="77"/>
      <c r="P155" s="77"/>
      <c r="Q155" s="77"/>
      <c r="X155" s="1201"/>
    </row>
    <row r="156" spans="1:24" s="76" customFormat="1" x14ac:dyDescent="0.25">
      <c r="A156" s="101"/>
      <c r="B156" s="102"/>
      <c r="C156" s="103"/>
      <c r="E156" s="80"/>
      <c r="F156" s="80"/>
      <c r="G156" s="80"/>
      <c r="H156" s="81"/>
      <c r="I156" s="81"/>
      <c r="J156" s="81"/>
      <c r="K156" s="81"/>
      <c r="L156" s="100"/>
      <c r="M156" s="79"/>
      <c r="O156" s="77"/>
      <c r="P156" s="77"/>
      <c r="Q156" s="77"/>
      <c r="X156" s="1201"/>
    </row>
    <row r="157" spans="1:24" s="76" customFormat="1" x14ac:dyDescent="0.25">
      <c r="A157" s="101"/>
      <c r="B157" s="102"/>
      <c r="C157" s="103"/>
      <c r="E157" s="80"/>
      <c r="F157" s="80"/>
      <c r="G157" s="80"/>
      <c r="H157" s="81"/>
      <c r="I157" s="81"/>
      <c r="J157" s="81"/>
      <c r="K157" s="81"/>
      <c r="L157" s="100"/>
      <c r="M157" s="79"/>
      <c r="O157" s="77"/>
      <c r="P157" s="77"/>
      <c r="Q157" s="77"/>
      <c r="X157" s="1201"/>
    </row>
    <row r="158" spans="1:24" s="76" customFormat="1" x14ac:dyDescent="0.25">
      <c r="A158" s="101"/>
      <c r="B158" s="102"/>
      <c r="C158" s="103"/>
      <c r="E158" s="80"/>
      <c r="F158" s="80"/>
      <c r="G158" s="80"/>
      <c r="H158" s="81"/>
      <c r="I158" s="81"/>
      <c r="J158" s="81"/>
      <c r="K158" s="81"/>
      <c r="L158" s="100"/>
      <c r="M158" s="79"/>
      <c r="O158" s="77"/>
      <c r="P158" s="77"/>
      <c r="Q158" s="77"/>
      <c r="X158" s="1201"/>
    </row>
    <row r="159" spans="1:24" s="76" customFormat="1" x14ac:dyDescent="0.25">
      <c r="A159" s="101"/>
      <c r="B159" s="102"/>
      <c r="C159" s="103"/>
      <c r="E159" s="80"/>
      <c r="F159" s="80"/>
      <c r="G159" s="80"/>
      <c r="H159" s="81"/>
      <c r="I159" s="81"/>
      <c r="J159" s="81"/>
      <c r="K159" s="81"/>
      <c r="L159" s="100"/>
      <c r="M159" s="79"/>
      <c r="O159" s="77"/>
      <c r="P159" s="77"/>
      <c r="Q159" s="77"/>
      <c r="X159" s="1201"/>
    </row>
    <row r="160" spans="1:24" s="76" customFormat="1" x14ac:dyDescent="0.25">
      <c r="A160" s="101"/>
      <c r="B160" s="102"/>
      <c r="C160" s="103"/>
      <c r="E160" s="80"/>
      <c r="F160" s="80"/>
      <c r="G160" s="80"/>
      <c r="H160" s="81"/>
      <c r="I160" s="81"/>
      <c r="J160" s="81"/>
      <c r="K160" s="81"/>
      <c r="L160" s="100"/>
      <c r="M160" s="79"/>
      <c r="O160" s="77"/>
      <c r="P160" s="77"/>
      <c r="Q160" s="77"/>
      <c r="X160" s="1201"/>
    </row>
  </sheetData>
  <sheetProtection password="F86B" sheet="1" formatCells="0" formatColumns="0" formatRows="0"/>
  <mergeCells count="87">
    <mergeCell ref="B51:D51"/>
    <mergeCell ref="K10:L10"/>
    <mergeCell ref="H35:H36"/>
    <mergeCell ref="B35:D36"/>
    <mergeCell ref="A25:A26"/>
    <mergeCell ref="A46:B46"/>
    <mergeCell ref="F35:F36"/>
    <mergeCell ref="J44:J47"/>
    <mergeCell ref="K44:K47"/>
    <mergeCell ref="B39:D39"/>
    <mergeCell ref="H43:I43"/>
    <mergeCell ref="I35:I36"/>
    <mergeCell ref="G35:G36"/>
    <mergeCell ref="A43:B44"/>
    <mergeCell ref="K35:K36"/>
    <mergeCell ref="J35:J36"/>
    <mergeCell ref="E35:E36"/>
    <mergeCell ref="B37:D37"/>
    <mergeCell ref="B38:D38"/>
    <mergeCell ref="A35:A36"/>
    <mergeCell ref="A23:K23"/>
    <mergeCell ref="B29:D29"/>
    <mergeCell ref="F25:F26"/>
    <mergeCell ref="Q27:Q28"/>
    <mergeCell ref="P25:P27"/>
    <mergeCell ref="L25:M25"/>
    <mergeCell ref="Q26:S26"/>
    <mergeCell ref="R27:S27"/>
    <mergeCell ref="R28:S28"/>
    <mergeCell ref="N25:O25"/>
    <mergeCell ref="A1:P1"/>
    <mergeCell ref="C19:D19"/>
    <mergeCell ref="A18:B18"/>
    <mergeCell ref="P2:Q2"/>
    <mergeCell ref="O10:P10"/>
    <mergeCell ref="C18:D18"/>
    <mergeCell ref="M9:N10"/>
    <mergeCell ref="A7:P7"/>
    <mergeCell ref="A12:B12"/>
    <mergeCell ref="C14:D14"/>
    <mergeCell ref="I25:I26"/>
    <mergeCell ref="B27:D27"/>
    <mergeCell ref="K25:K26"/>
    <mergeCell ref="P3:Q3"/>
    <mergeCell ref="A16:B16"/>
    <mergeCell ref="A19:B19"/>
    <mergeCell ref="C17:D17"/>
    <mergeCell ref="J25:J26"/>
    <mergeCell ref="G25:H25"/>
    <mergeCell ref="B25:D26"/>
    <mergeCell ref="C43:E44"/>
    <mergeCell ref="B31:D31"/>
    <mergeCell ref="A15:B15"/>
    <mergeCell ref="C15:D15"/>
    <mergeCell ref="C16:D16"/>
    <mergeCell ref="A5:D5"/>
    <mergeCell ref="C12:D12"/>
    <mergeCell ref="C13:D13"/>
    <mergeCell ref="A32:M32"/>
    <mergeCell ref="B30:D30"/>
    <mergeCell ref="C46:E46"/>
    <mergeCell ref="F43:G43"/>
    <mergeCell ref="B50:D50"/>
    <mergeCell ref="C45:E45"/>
    <mergeCell ref="A6:P6"/>
    <mergeCell ref="E9:L9"/>
    <mergeCell ref="A9:B11"/>
    <mergeCell ref="A13:B13"/>
    <mergeCell ref="A14:B14"/>
    <mergeCell ref="C9:D11"/>
    <mergeCell ref="L44:L47"/>
    <mergeCell ref="M44:M47"/>
    <mergeCell ref="O44:O47"/>
    <mergeCell ref="L35:O38"/>
    <mergeCell ref="J43:K43"/>
    <mergeCell ref="L43:M43"/>
    <mergeCell ref="J42:M42"/>
    <mergeCell ref="A45:B45"/>
    <mergeCell ref="A17:B17"/>
    <mergeCell ref="B40:D40"/>
    <mergeCell ref="B28:D28"/>
    <mergeCell ref="E25:E26"/>
    <mergeCell ref="A2:C2"/>
    <mergeCell ref="A4:N4"/>
    <mergeCell ref="E10:F10"/>
    <mergeCell ref="G10:H10"/>
    <mergeCell ref="I10:J10"/>
  </mergeCells>
  <conditionalFormatting sqref="J48">
    <cfRule type="containsText" dxfId="282" priority="16" stopIfTrue="1" operator="containsText" text="ПОМИЛКА">
      <formula>NOT(ISERROR(SEARCH("ПОМИЛКА",J48)))</formula>
    </cfRule>
    <cfRule type="containsText" dxfId="281" priority="17" stopIfTrue="1" operator="containsText" text="Увага">
      <formula>NOT(ISERROR(SEARCH("Увага",J48)))</formula>
    </cfRule>
    <cfRule type="containsText" dxfId="280" priority="18" stopIfTrue="1" operator="containsText" text="ПРАВДА">
      <formula>NOT(ISERROR(SEARCH("ПРАВДА",J48)))</formula>
    </cfRule>
  </conditionalFormatting>
  <conditionalFormatting sqref="K48">
    <cfRule type="containsText" dxfId="279" priority="13" stopIfTrue="1" operator="containsText" text="ПОМИЛКА">
      <formula>NOT(ISERROR(SEARCH("ПОМИЛКА",K48)))</formula>
    </cfRule>
    <cfRule type="containsText" dxfId="278" priority="14" stopIfTrue="1" operator="containsText" text="Увага">
      <formula>NOT(ISERROR(SEARCH("Увага",K48)))</formula>
    </cfRule>
    <cfRule type="containsText" dxfId="277" priority="15" stopIfTrue="1" operator="containsText" text="ПРАВДА">
      <formula>NOT(ISERROR(SEARCH("ПРАВДА",K48)))</formula>
    </cfRule>
  </conditionalFormatting>
  <conditionalFormatting sqref="L48">
    <cfRule type="containsText" dxfId="276" priority="7" stopIfTrue="1" operator="containsText" text="ПОМИЛКА">
      <formula>NOT(ISERROR(SEARCH("ПОМИЛКА",L48)))</formula>
    </cfRule>
    <cfRule type="containsText" dxfId="275" priority="8" stopIfTrue="1" operator="containsText" text="Увага">
      <formula>NOT(ISERROR(SEARCH("Увага",L48)))</formula>
    </cfRule>
    <cfRule type="containsText" dxfId="274" priority="9" stopIfTrue="1" operator="containsText" text="ПРАВДА">
      <formula>NOT(ISERROR(SEARCH("ПРАВДА",L48)))</formula>
    </cfRule>
  </conditionalFormatting>
  <conditionalFormatting sqref="M48">
    <cfRule type="containsText" dxfId="273" priority="4" stopIfTrue="1" operator="containsText" text="ПОМИЛКА">
      <formula>NOT(ISERROR(SEARCH("ПОМИЛКА",M48)))</formula>
    </cfRule>
    <cfRule type="containsText" dxfId="272" priority="5" stopIfTrue="1" operator="containsText" text="Увага">
      <formula>NOT(ISERROR(SEARCH("Увага",M48)))</formula>
    </cfRule>
    <cfRule type="containsText" dxfId="271" priority="6" stopIfTrue="1" operator="containsText" text="ПРАВДА">
      <formula>NOT(ISERROR(SEARCH("ПРАВДА",M48)))</formula>
    </cfRule>
  </conditionalFormatting>
  <conditionalFormatting sqref="O48">
    <cfRule type="containsText" dxfId="270" priority="1" stopIfTrue="1" operator="containsText" text="ПОМИЛКА">
      <formula>NOT(ISERROR(SEARCH("ПОМИЛКА",O48)))</formula>
    </cfRule>
    <cfRule type="containsText" dxfId="269" priority="2" stopIfTrue="1" operator="containsText" text="Увага">
      <formula>NOT(ISERROR(SEARCH("Увага",O48)))</formula>
    </cfRule>
    <cfRule type="containsText" dxfId="268" priority="3" stopIfTrue="1" operator="containsText" text="ПРАВДА">
      <formula>NOT(ISERROR(SEARCH("ПРАВДА",O48)))</formula>
    </cfRule>
  </conditionalFormatting>
  <dataValidations count="2">
    <dataValidation type="decimal" operator="greaterThanOrEqual" showInputMessage="1" showErrorMessage="1" error="Будь ласка, вкажіть додатнє число." sqref="F46:I46 G21:P21 F29:N31 G14:P19">
      <formula1>0</formula1>
    </dataValidation>
    <dataValidation type="decimal" allowBlank="1" showInputMessage="1" showErrorMessage="1" sqref="F39:K39">
      <formula1>-100000000</formula1>
      <formula2>1000000</formula2>
    </dataValidation>
  </dataValidations>
  <hyperlinks>
    <hyperlink ref="A33" r:id="rId1"/>
    <hyperlink ref="A20" r:id="rId2" location="Text"/>
    <hyperlink ref="V85" r:id="rId3" display="https://zakon.rada.gov.ua/rada/show/796-12"/>
    <hyperlink ref="U40" r:id="rId4" display="https://zakon.rada.gov.ua/rada/show/108/95-%D0%B2%D1%80"/>
  </hyperlinks>
  <pageMargins left="0.19685039370078741" right="0.27559055118110237" top="0.59055118110236227" bottom="0.35433070866141736" header="0.39370078740157483" footer="0.31496062992125984"/>
  <pageSetup paperSize="9" scale="38" orientation="landscape" r:id="rId5"/>
  <headerFooter alignWithMargins="0">
    <oddFooter>&amp;RСтор.  &amp;P</oddFooter>
  </headerFooter>
  <rowBreaks count="1" manualBreakCount="1">
    <brk id="48" max="16383" man="1"/>
  </rowBreaks>
  <colBreaks count="1" manualBreakCount="1">
    <brk id="17" max="1048575" man="1"/>
  </col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7">
    <tabColor rgb="FFFFFF00"/>
  </sheetPr>
  <dimension ref="A1:AJ137"/>
  <sheetViews>
    <sheetView showGridLines="0" view="pageBreakPreview" topLeftCell="B93" zoomScale="60" zoomScaleNormal="60" zoomScalePageLayoutView="50" workbookViewId="0">
      <selection activeCell="J106" sqref="J106"/>
    </sheetView>
  </sheetViews>
  <sheetFormatPr defaultColWidth="8.7109375" defaultRowHeight="26.25" x14ac:dyDescent="0.25"/>
  <cols>
    <col min="1" max="1" width="41.5703125" style="2" customWidth="1"/>
    <col min="2" max="2" width="17.42578125" style="58" customWidth="1"/>
    <col min="3" max="3" width="28.7109375" style="58" customWidth="1"/>
    <col min="4" max="4" width="23.42578125" style="58" customWidth="1"/>
    <col min="5" max="5" width="25.7109375" style="4" customWidth="1"/>
    <col min="6" max="6" width="25.7109375" style="134" customWidth="1"/>
    <col min="7" max="7" width="26" style="134" customWidth="1"/>
    <col min="8" max="8" width="28.28515625" style="4" customWidth="1"/>
    <col min="9" max="9" width="21" style="4" customWidth="1"/>
    <col min="10" max="10" width="18" style="618" customWidth="1"/>
    <col min="11" max="11" width="32" style="47" customWidth="1"/>
    <col min="12" max="13" width="20.7109375" style="495" customWidth="1"/>
    <col min="14" max="14" width="61" style="876" customWidth="1"/>
    <col min="15" max="24" width="19.5703125" style="76" customWidth="1"/>
    <col min="25" max="36" width="8.7109375" style="76"/>
    <col min="37" max="233" width="8.7109375" style="2"/>
    <col min="234" max="234" width="78.5703125" style="2" customWidth="1"/>
    <col min="235" max="237" width="19.42578125" style="2" customWidth="1"/>
    <col min="238" max="16384" width="8.7109375" style="2"/>
  </cols>
  <sheetData>
    <row r="1" spans="1:36" ht="27" x14ac:dyDescent="0.25">
      <c r="A1" s="2251" t="s">
        <v>1125</v>
      </c>
      <c r="B1" s="2251"/>
      <c r="C1" s="2251"/>
      <c r="D1" s="2251"/>
      <c r="E1" s="2251"/>
      <c r="F1" s="2251"/>
      <c r="G1" s="2251"/>
      <c r="H1" s="2251"/>
      <c r="I1" s="2251"/>
      <c r="J1" s="2251"/>
      <c r="K1" s="2251"/>
    </row>
    <row r="2" spans="1:36" ht="27" customHeight="1" x14ac:dyDescent="0.25">
      <c r="A2" s="2126" t="s">
        <v>0</v>
      </c>
      <c r="B2" s="2126"/>
      <c r="C2" s="2126"/>
      <c r="D2" s="135" t="str">
        <f>'Звіт 1,2,3'!D1</f>
        <v>02006707</v>
      </c>
      <c r="E2" s="59" t="s">
        <v>1</v>
      </c>
      <c r="F2" s="610">
        <f>'Звіт 1,2,3'!H1</f>
        <v>430</v>
      </c>
      <c r="G2" s="1011"/>
      <c r="H2" s="1"/>
      <c r="J2" s="1944" t="s">
        <v>3</v>
      </c>
      <c r="K2" s="1944"/>
      <c r="L2" s="2250"/>
      <c r="M2" s="967"/>
    </row>
    <row r="3" spans="1:36" ht="22.35" customHeight="1" x14ac:dyDescent="0.25">
      <c r="A3" s="22"/>
      <c r="B3" s="1"/>
      <c r="C3" s="2"/>
      <c r="E3" s="58"/>
      <c r="F3" s="66"/>
      <c r="G3" s="66"/>
      <c r="H3" s="58"/>
      <c r="I3" s="58"/>
      <c r="J3" s="2165" t="s">
        <v>282</v>
      </c>
      <c r="K3" s="2165"/>
      <c r="L3" s="2250"/>
      <c r="M3" s="967"/>
    </row>
    <row r="4" spans="1:36" ht="22.15" customHeight="1" x14ac:dyDescent="0.25">
      <c r="A4" s="2016" t="str">
        <f>'Звіт 1,2,3'!A3:S3</f>
        <v>ЗВІТ ПРО ДОХОДИ ТА ВИТРАТИ за 1 півріччя  2021 року</v>
      </c>
      <c r="B4" s="2016"/>
      <c r="C4" s="2016"/>
      <c r="D4" s="2016"/>
      <c r="E4" s="2016"/>
      <c r="F4" s="2016"/>
      <c r="G4" s="2016"/>
      <c r="H4" s="2016"/>
      <c r="I4" s="2016"/>
      <c r="J4" s="2016"/>
      <c r="K4" s="2016"/>
      <c r="L4" s="2250"/>
      <c r="M4" s="967"/>
    </row>
    <row r="5" spans="1:36" ht="19.5" customHeight="1" x14ac:dyDescent="0.25">
      <c r="A5" s="14" t="s">
        <v>438</v>
      </c>
      <c r="B5" s="7"/>
      <c r="C5" s="7"/>
      <c r="D5" s="7"/>
      <c r="E5" s="58"/>
      <c r="F5" s="66"/>
      <c r="G5" s="66"/>
      <c r="H5" s="58"/>
      <c r="I5" s="58"/>
      <c r="L5" s="2250"/>
      <c r="M5" s="967"/>
    </row>
    <row r="6" spans="1:36" ht="20.65" customHeight="1" thickBot="1" x14ac:dyDescent="0.3">
      <c r="A6" s="14"/>
      <c r="B6" s="7"/>
      <c r="C6" s="7"/>
      <c r="D6" s="7"/>
      <c r="E6" s="58"/>
      <c r="F6" s="66"/>
      <c r="G6" s="66"/>
      <c r="H6" s="1266"/>
      <c r="K6" s="136" t="s">
        <v>320</v>
      </c>
      <c r="L6" s="2250"/>
      <c r="M6" s="967"/>
    </row>
    <row r="7" spans="1:36" s="9" customFormat="1" ht="69.75" customHeight="1" x14ac:dyDescent="0.3">
      <c r="A7" s="2200" t="s">
        <v>95</v>
      </c>
      <c r="B7" s="2201"/>
      <c r="C7" s="2201"/>
      <c r="D7" s="236" t="s">
        <v>55</v>
      </c>
      <c r="E7" s="531" t="s">
        <v>96</v>
      </c>
      <c r="F7" s="194" t="s">
        <v>355</v>
      </c>
      <c r="G7" s="194" t="s">
        <v>1391</v>
      </c>
      <c r="H7" s="531" t="s">
        <v>1390</v>
      </c>
      <c r="I7" s="531" t="s">
        <v>97</v>
      </c>
      <c r="J7" s="194" t="s">
        <v>355</v>
      </c>
      <c r="K7" s="532" t="s">
        <v>358</v>
      </c>
      <c r="L7" s="2250"/>
      <c r="M7" s="967"/>
      <c r="N7" s="400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s="9" customFormat="1" ht="39.75" customHeight="1" x14ac:dyDescent="0.3">
      <c r="A8" s="2260" t="s">
        <v>2060</v>
      </c>
      <c r="B8" s="2260"/>
      <c r="C8" s="2260"/>
      <c r="D8" s="2260"/>
      <c r="E8" s="2260"/>
      <c r="F8" s="2260"/>
      <c r="G8" s="2260"/>
      <c r="H8" s="2260"/>
      <c r="I8" s="2260"/>
      <c r="J8" s="2260"/>
      <c r="K8" s="2260"/>
      <c r="L8" s="1578"/>
      <c r="M8" s="1578"/>
      <c r="N8" s="400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</row>
    <row r="9" spans="1:36" s="9" customFormat="1" ht="39.75" customHeight="1" x14ac:dyDescent="0.3">
      <c r="A9" s="2261" t="s">
        <v>2086</v>
      </c>
      <c r="B9" s="2262" t="s">
        <v>2061</v>
      </c>
      <c r="C9" s="2262"/>
      <c r="D9" s="1723" t="str">
        <f>D2</f>
        <v>02006707</v>
      </c>
      <c r="E9" s="2262" t="s">
        <v>2062</v>
      </c>
      <c r="F9" s="2262"/>
      <c r="G9" s="1712" t="s">
        <v>2063</v>
      </c>
      <c r="H9" s="1810" t="s">
        <v>2064</v>
      </c>
      <c r="I9" s="2248" t="s">
        <v>2068</v>
      </c>
      <c r="J9" s="2249"/>
      <c r="K9" s="1809" t="s">
        <v>2093</v>
      </c>
      <c r="L9" s="1696"/>
      <c r="M9" s="1696"/>
      <c r="N9" s="400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</row>
    <row r="10" spans="1:36" s="9" customFormat="1" ht="40.5" customHeight="1" x14ac:dyDescent="0.3">
      <c r="A10" s="2261"/>
      <c r="B10" s="2262" t="s">
        <v>2065</v>
      </c>
      <c r="C10" s="2262"/>
      <c r="D10" s="1723" t="str">
        <f>D2</f>
        <v>02006707</v>
      </c>
      <c r="E10" s="2262" t="s">
        <v>2066</v>
      </c>
      <c r="F10" s="2262"/>
      <c r="G10" s="1712" t="s">
        <v>2067</v>
      </c>
      <c r="H10" s="1810" t="s">
        <v>2064</v>
      </c>
      <c r="I10" s="2248" t="s">
        <v>2069</v>
      </c>
      <c r="J10" s="2249"/>
      <c r="K10" s="1809" t="s">
        <v>2094</v>
      </c>
      <c r="L10" s="1662"/>
      <c r="M10" s="1662"/>
      <c r="N10" s="400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</row>
    <row r="11" spans="1:36" s="9" customFormat="1" ht="23.25" customHeight="1" thickBot="1" x14ac:dyDescent="0.45">
      <c r="A11" s="2258">
        <v>1</v>
      </c>
      <c r="B11" s="2259"/>
      <c r="C11" s="2259"/>
      <c r="D11" s="1256">
        <v>2</v>
      </c>
      <c r="E11" s="1256">
        <v>3</v>
      </c>
      <c r="F11" s="611">
        <v>4</v>
      </c>
      <c r="G11" s="611" t="s">
        <v>1389</v>
      </c>
      <c r="H11" s="1256">
        <v>5</v>
      </c>
      <c r="I11" s="1256">
        <v>6</v>
      </c>
      <c r="J11" s="611">
        <v>7</v>
      </c>
      <c r="K11" s="195">
        <v>8</v>
      </c>
      <c r="L11" s="496"/>
      <c r="M11" s="496"/>
      <c r="N11" s="400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</row>
    <row r="12" spans="1:36" s="9" customFormat="1" ht="21" customHeight="1" x14ac:dyDescent="0.4">
      <c r="A12" s="2263" t="s">
        <v>269</v>
      </c>
      <c r="B12" s="2264"/>
      <c r="C12" s="2264"/>
      <c r="D12" s="1382">
        <v>999</v>
      </c>
      <c r="E12" s="563"/>
      <c r="F12" s="564"/>
      <c r="G12" s="564"/>
      <c r="H12" s="563"/>
      <c r="I12" s="563"/>
      <c r="J12" s="619"/>
      <c r="K12" s="565"/>
      <c r="L12" s="496"/>
      <c r="M12" s="496"/>
      <c r="N12" s="400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6" s="9" customFormat="1" ht="22.35" customHeight="1" x14ac:dyDescent="0.4">
      <c r="A13" s="2236" t="s">
        <v>98</v>
      </c>
      <c r="B13" s="2237"/>
      <c r="C13" s="2237"/>
      <c r="D13" s="598">
        <v>1000</v>
      </c>
      <c r="E13" s="599">
        <f>E14+E15</f>
        <v>0</v>
      </c>
      <c r="F13" s="600">
        <f>F14+F15</f>
        <v>0</v>
      </c>
      <c r="G13" s="600">
        <f>G14+G15</f>
        <v>0</v>
      </c>
      <c r="H13" s="601">
        <f>ROUND((E13+F13+G13),1)</f>
        <v>0</v>
      </c>
      <c r="I13" s="599">
        <f>I14+I15</f>
        <v>0</v>
      </c>
      <c r="J13" s="600">
        <f>J14+J15</f>
        <v>0</v>
      </c>
      <c r="K13" s="602">
        <f>ROUND((I13+J13),1)</f>
        <v>0</v>
      </c>
      <c r="L13" s="498"/>
      <c r="M13" s="498"/>
      <c r="N13" s="400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1:36" s="9" customFormat="1" ht="22.35" customHeight="1" x14ac:dyDescent="0.4">
      <c r="A14" s="2238" t="s">
        <v>99</v>
      </c>
      <c r="B14" s="2239"/>
      <c r="C14" s="2239"/>
      <c r="D14" s="36">
        <v>1001</v>
      </c>
      <c r="E14" s="566">
        <v>0</v>
      </c>
      <c r="F14" s="612">
        <v>0</v>
      </c>
      <c r="G14" s="612">
        <v>0</v>
      </c>
      <c r="H14" s="601">
        <f>ROUND((E14+F14+G14),1)</f>
        <v>0</v>
      </c>
      <c r="I14" s="566">
        <v>0</v>
      </c>
      <c r="J14" s="612">
        <v>0</v>
      </c>
      <c r="K14" s="602">
        <f t="shared" ref="K14:K84" si="0">ROUND((I14+J14),1)</f>
        <v>0</v>
      </c>
      <c r="L14" s="498"/>
      <c r="M14" s="498"/>
      <c r="N14" s="400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</row>
    <row r="15" spans="1:36" s="9" customFormat="1" ht="22.35" customHeight="1" x14ac:dyDescent="0.4">
      <c r="A15" s="2238" t="s">
        <v>245</v>
      </c>
      <c r="B15" s="2239"/>
      <c r="C15" s="2239"/>
      <c r="D15" s="35">
        <v>1002</v>
      </c>
      <c r="E15" s="566">
        <v>0</v>
      </c>
      <c r="F15" s="612">
        <v>0</v>
      </c>
      <c r="G15" s="612">
        <v>0</v>
      </c>
      <c r="H15" s="601">
        <f t="shared" ref="H15:H84" si="1">ROUND((E15+F15+G15),1)</f>
        <v>0</v>
      </c>
      <c r="I15" s="566">
        <v>0</v>
      </c>
      <c r="J15" s="612">
        <v>0</v>
      </c>
      <c r="K15" s="602">
        <f t="shared" si="0"/>
        <v>0</v>
      </c>
      <c r="L15" s="498"/>
      <c r="M15" s="498"/>
      <c r="N15" s="400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s="9" customFormat="1" ht="22.35" customHeight="1" x14ac:dyDescent="0.4">
      <c r="A16" s="2198" t="s">
        <v>100</v>
      </c>
      <c r="B16" s="2199"/>
      <c r="C16" s="2199"/>
      <c r="D16" s="35">
        <v>1005</v>
      </c>
      <c r="E16" s="566">
        <v>106.6</v>
      </c>
      <c r="F16" s="612">
        <v>0</v>
      </c>
      <c r="G16" s="612">
        <v>0</v>
      </c>
      <c r="H16" s="601">
        <f>ROUND((E16+F16+G16),1)</f>
        <v>106.6</v>
      </c>
      <c r="I16" s="566">
        <v>191.9</v>
      </c>
      <c r="J16" s="612">
        <v>0</v>
      </c>
      <c r="K16" s="602">
        <f>ROUND((I16+J16),1)</f>
        <v>191.9</v>
      </c>
      <c r="L16" s="498"/>
      <c r="M16" s="498"/>
      <c r="N16" s="400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s="9" customFormat="1" ht="22.35" customHeight="1" thickBot="1" x14ac:dyDescent="0.45">
      <c r="A17" s="2236" t="s">
        <v>101</v>
      </c>
      <c r="B17" s="2237"/>
      <c r="C17" s="2237"/>
      <c r="D17" s="598">
        <v>1010</v>
      </c>
      <c r="E17" s="599">
        <f>E18+E19</f>
        <v>38488.699999999997</v>
      </c>
      <c r="F17" s="600">
        <f>F18+F19</f>
        <v>0</v>
      </c>
      <c r="G17" s="600">
        <f>G18+G19</f>
        <v>9919.4</v>
      </c>
      <c r="H17" s="601">
        <f t="shared" si="1"/>
        <v>48408.1</v>
      </c>
      <c r="I17" s="599">
        <f>I18+I19</f>
        <v>49635.8</v>
      </c>
      <c r="J17" s="600">
        <f>J18+J19</f>
        <v>0</v>
      </c>
      <c r="K17" s="602">
        <f t="shared" si="0"/>
        <v>49635.8</v>
      </c>
      <c r="L17" s="498"/>
      <c r="M17" s="498"/>
      <c r="N17" s="400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 s="9" customFormat="1" ht="22.35" customHeight="1" thickBot="1" x14ac:dyDescent="0.45">
      <c r="A18" s="2238" t="s">
        <v>99</v>
      </c>
      <c r="B18" s="2239"/>
      <c r="C18" s="2239"/>
      <c r="D18" s="36">
        <v>1011</v>
      </c>
      <c r="E18" s="566">
        <f>87512.2-12261.7</f>
        <v>75250.5</v>
      </c>
      <c r="F18" s="612">
        <v>0</v>
      </c>
      <c r="G18" s="1813">
        <v>12261.7</v>
      </c>
      <c r="H18" s="601">
        <f t="shared" si="1"/>
        <v>87512.2</v>
      </c>
      <c r="I18" s="566">
        <v>89103.3</v>
      </c>
      <c r="J18" s="612">
        <v>0</v>
      </c>
      <c r="K18" s="602">
        <f t="shared" si="0"/>
        <v>89103.3</v>
      </c>
      <c r="L18" s="498"/>
      <c r="M18" s="498"/>
      <c r="N18" s="400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 s="9" customFormat="1" ht="22.35" customHeight="1" thickBot="1" x14ac:dyDescent="0.45">
      <c r="A19" s="2238" t="s">
        <v>246</v>
      </c>
      <c r="B19" s="2239"/>
      <c r="C19" s="2239"/>
      <c r="D19" s="36">
        <v>1012</v>
      </c>
      <c r="E19" s="566">
        <f>-39104.1+2342.3</f>
        <v>-36761.800000000003</v>
      </c>
      <c r="F19" s="612">
        <v>0</v>
      </c>
      <c r="G19" s="1813">
        <v>-2342.3000000000002</v>
      </c>
      <c r="H19" s="601">
        <f t="shared" si="1"/>
        <v>-39104.1</v>
      </c>
      <c r="I19" s="566">
        <v>-39467.5</v>
      </c>
      <c r="J19" s="612">
        <v>0</v>
      </c>
      <c r="K19" s="602">
        <f t="shared" si="0"/>
        <v>-39467.5</v>
      </c>
      <c r="L19" s="498"/>
      <c r="M19" s="498"/>
      <c r="N19" s="400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 s="9" customFormat="1" ht="22.35" customHeight="1" x14ac:dyDescent="0.4">
      <c r="A20" s="2198" t="s">
        <v>102</v>
      </c>
      <c r="B20" s="2199"/>
      <c r="C20" s="2199"/>
      <c r="D20" s="35">
        <v>1015</v>
      </c>
      <c r="E20" s="566">
        <v>0</v>
      </c>
      <c r="F20" s="612">
        <v>0</v>
      </c>
      <c r="G20" s="612">
        <v>0</v>
      </c>
      <c r="H20" s="601">
        <f t="shared" si="1"/>
        <v>0</v>
      </c>
      <c r="I20" s="566">
        <v>0</v>
      </c>
      <c r="J20" s="612">
        <v>0</v>
      </c>
      <c r="K20" s="602">
        <f t="shared" si="0"/>
        <v>0</v>
      </c>
      <c r="L20" s="498"/>
      <c r="M20" s="498"/>
      <c r="N20" s="400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 s="9" customFormat="1" ht="24" customHeight="1" x14ac:dyDescent="0.4">
      <c r="A21" s="2198" t="s">
        <v>103</v>
      </c>
      <c r="B21" s="2199"/>
      <c r="C21" s="2199"/>
      <c r="D21" s="35">
        <v>1020</v>
      </c>
      <c r="E21" s="566">
        <v>0</v>
      </c>
      <c r="F21" s="612">
        <v>0</v>
      </c>
      <c r="G21" s="612">
        <v>0</v>
      </c>
      <c r="H21" s="601">
        <f t="shared" si="1"/>
        <v>0</v>
      </c>
      <c r="I21" s="566">
        <v>0</v>
      </c>
      <c r="J21" s="612">
        <v>0</v>
      </c>
      <c r="K21" s="602">
        <f t="shared" si="0"/>
        <v>0</v>
      </c>
      <c r="L21" s="498"/>
      <c r="M21" s="498"/>
      <c r="N21" s="400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</row>
    <row r="22" spans="1:36" s="9" customFormat="1" ht="21.6" customHeight="1" x14ac:dyDescent="0.4">
      <c r="A22" s="2198" t="s">
        <v>270</v>
      </c>
      <c r="B22" s="2199"/>
      <c r="C22" s="2199"/>
      <c r="D22" s="1406">
        <v>1029</v>
      </c>
      <c r="E22" s="566"/>
      <c r="F22" s="612"/>
      <c r="G22" s="612"/>
      <c r="H22" s="601">
        <f t="shared" si="1"/>
        <v>0</v>
      </c>
      <c r="I22" s="566"/>
      <c r="J22" s="612"/>
      <c r="K22" s="602">
        <f t="shared" si="0"/>
        <v>0</v>
      </c>
      <c r="L22" s="498"/>
      <c r="M22" s="498"/>
      <c r="N22" s="400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 s="9" customFormat="1" ht="23.65" customHeight="1" x14ac:dyDescent="0.4">
      <c r="A23" s="2244" t="s">
        <v>104</v>
      </c>
      <c r="B23" s="2245"/>
      <c r="C23" s="2245"/>
      <c r="D23" s="35">
        <v>1030</v>
      </c>
      <c r="E23" s="566">
        <v>0</v>
      </c>
      <c r="F23" s="612">
        <v>0</v>
      </c>
      <c r="G23" s="612">
        <v>0</v>
      </c>
      <c r="H23" s="601">
        <f t="shared" si="1"/>
        <v>0</v>
      </c>
      <c r="I23" s="566">
        <v>0</v>
      </c>
      <c r="J23" s="612">
        <v>0</v>
      </c>
      <c r="K23" s="602">
        <f t="shared" si="0"/>
        <v>0</v>
      </c>
      <c r="L23" s="498"/>
      <c r="M23" s="498"/>
      <c r="N23" s="400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 s="9" customFormat="1" ht="22.35" customHeight="1" x14ac:dyDescent="0.4">
      <c r="A24" s="2244" t="s">
        <v>105</v>
      </c>
      <c r="B24" s="2245"/>
      <c r="C24" s="2245"/>
      <c r="D24" s="35">
        <v>1035</v>
      </c>
      <c r="E24" s="566">
        <v>0</v>
      </c>
      <c r="F24" s="612">
        <v>0</v>
      </c>
      <c r="G24" s="612">
        <v>0</v>
      </c>
      <c r="H24" s="601">
        <f t="shared" si="1"/>
        <v>0</v>
      </c>
      <c r="I24" s="566">
        <v>0</v>
      </c>
      <c r="J24" s="612">
        <v>0</v>
      </c>
      <c r="K24" s="602">
        <f t="shared" si="0"/>
        <v>0</v>
      </c>
      <c r="L24" s="498"/>
      <c r="M24" s="498"/>
      <c r="N24" s="877" t="s">
        <v>649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 s="9" customFormat="1" ht="22.35" customHeight="1" x14ac:dyDescent="0.4">
      <c r="A25" s="2198" t="s">
        <v>106</v>
      </c>
      <c r="B25" s="2199"/>
      <c r="C25" s="2199"/>
      <c r="D25" s="35">
        <v>1040</v>
      </c>
      <c r="E25" s="566">
        <v>0</v>
      </c>
      <c r="F25" s="612">
        <v>0</v>
      </c>
      <c r="G25" s="612">
        <v>0</v>
      </c>
      <c r="H25" s="601">
        <f t="shared" si="1"/>
        <v>0</v>
      </c>
      <c r="I25" s="566">
        <v>0</v>
      </c>
      <c r="J25" s="612">
        <v>0</v>
      </c>
      <c r="K25" s="602">
        <f t="shared" si="0"/>
        <v>0</v>
      </c>
      <c r="L25" s="498">
        <f>'Звіт   9'!H42</f>
        <v>0</v>
      </c>
      <c r="M25" s="498"/>
      <c r="N25" s="400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 s="9" customFormat="1" ht="22.35" customHeight="1" x14ac:dyDescent="0.4">
      <c r="A26" s="2198" t="s">
        <v>107</v>
      </c>
      <c r="B26" s="2199"/>
      <c r="C26" s="2199"/>
      <c r="D26" s="35">
        <v>1045</v>
      </c>
      <c r="E26" s="566">
        <v>0</v>
      </c>
      <c r="F26" s="612">
        <v>0</v>
      </c>
      <c r="G26" s="612">
        <v>0</v>
      </c>
      <c r="H26" s="601">
        <f t="shared" si="1"/>
        <v>0</v>
      </c>
      <c r="I26" s="566">
        <v>0</v>
      </c>
      <c r="J26" s="612">
        <v>0</v>
      </c>
      <c r="K26" s="602">
        <f t="shared" si="0"/>
        <v>0</v>
      </c>
      <c r="L26" s="498"/>
      <c r="M26" s="498"/>
      <c r="N26" s="878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 s="9" customFormat="1" ht="22.35" customHeight="1" x14ac:dyDescent="0.4">
      <c r="A27" s="2198" t="s">
        <v>108</v>
      </c>
      <c r="B27" s="2199"/>
      <c r="C27" s="2199"/>
      <c r="D27" s="35">
        <v>1090</v>
      </c>
      <c r="E27" s="566">
        <v>0</v>
      </c>
      <c r="F27" s="612">
        <v>0</v>
      </c>
      <c r="G27" s="612">
        <v>0</v>
      </c>
      <c r="H27" s="601">
        <f t="shared" si="1"/>
        <v>0</v>
      </c>
      <c r="I27" s="566">
        <v>0</v>
      </c>
      <c r="J27" s="612">
        <v>0</v>
      </c>
      <c r="K27" s="602">
        <f t="shared" si="0"/>
        <v>0</v>
      </c>
      <c r="L27" s="498"/>
      <c r="M27" s="498"/>
      <c r="N27" s="400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 s="9" customFormat="1" ht="22.35" customHeight="1" thickBot="1" x14ac:dyDescent="0.4">
      <c r="A28" s="2265" t="s">
        <v>109</v>
      </c>
      <c r="B28" s="2266"/>
      <c r="C28" s="2266"/>
      <c r="D28" s="191">
        <v>1095</v>
      </c>
      <c r="E28" s="1014">
        <f t="shared" ref="E28:K28" si="2">SUM(E13,E16,E17,E20,E21,E23,E24,E25,E26,E27)</f>
        <v>38595.300000000003</v>
      </c>
      <c r="F28" s="1015">
        <f t="shared" si="2"/>
        <v>0</v>
      </c>
      <c r="G28" s="1015">
        <f t="shared" si="2"/>
        <v>9919.4</v>
      </c>
      <c r="H28" s="1015">
        <f t="shared" si="2"/>
        <v>48514.7</v>
      </c>
      <c r="I28" s="1014">
        <f t="shared" si="2"/>
        <v>49827.7</v>
      </c>
      <c r="J28" s="1015">
        <f t="shared" si="2"/>
        <v>0</v>
      </c>
      <c r="K28" s="1401">
        <f t="shared" si="2"/>
        <v>49827.7</v>
      </c>
      <c r="L28" s="499"/>
      <c r="M28" s="499"/>
      <c r="N28" s="400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</row>
    <row r="29" spans="1:36" s="9" customFormat="1" ht="22.35" customHeight="1" x14ac:dyDescent="0.35">
      <c r="A29" s="2288" t="s">
        <v>274</v>
      </c>
      <c r="B29" s="2289"/>
      <c r="C29" s="2290"/>
      <c r="D29" s="1382">
        <v>1099</v>
      </c>
      <c r="E29" s="567"/>
      <c r="F29" s="568"/>
      <c r="G29" s="568"/>
      <c r="H29" s="1016">
        <f t="shared" si="1"/>
        <v>0</v>
      </c>
      <c r="I29" s="567"/>
      <c r="J29" s="568"/>
      <c r="K29" s="1017">
        <f t="shared" si="0"/>
        <v>0</v>
      </c>
      <c r="L29" s="500"/>
      <c r="M29" s="500"/>
      <c r="N29" s="400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 s="9" customFormat="1" ht="22.35" customHeight="1" x14ac:dyDescent="0.4">
      <c r="A30" s="2198" t="s">
        <v>46</v>
      </c>
      <c r="B30" s="2199"/>
      <c r="C30" s="2199"/>
      <c r="D30" s="35">
        <v>1100</v>
      </c>
      <c r="E30" s="566">
        <v>28613.1</v>
      </c>
      <c r="F30" s="612">
        <v>0</v>
      </c>
      <c r="G30" s="612">
        <v>0</v>
      </c>
      <c r="H30" s="601">
        <f t="shared" si="1"/>
        <v>28613.1</v>
      </c>
      <c r="I30" s="566">
        <v>30933.8</v>
      </c>
      <c r="J30" s="612">
        <v>0</v>
      </c>
      <c r="K30" s="602">
        <f t="shared" si="0"/>
        <v>30933.8</v>
      </c>
      <c r="L30" s="498"/>
      <c r="M30" s="498"/>
      <c r="N30" s="400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 s="9" customFormat="1" ht="22.35" customHeight="1" x14ac:dyDescent="0.4">
      <c r="A31" s="2198" t="s">
        <v>110</v>
      </c>
      <c r="B31" s="2199"/>
      <c r="C31" s="2199"/>
      <c r="D31" s="35">
        <v>1110</v>
      </c>
      <c r="E31" s="566">
        <v>0</v>
      </c>
      <c r="F31" s="612">
        <v>0</v>
      </c>
      <c r="G31" s="612">
        <v>0</v>
      </c>
      <c r="H31" s="601">
        <f t="shared" si="1"/>
        <v>0</v>
      </c>
      <c r="I31" s="566">
        <v>0</v>
      </c>
      <c r="J31" s="612">
        <v>0</v>
      </c>
      <c r="K31" s="602">
        <f t="shared" si="0"/>
        <v>0</v>
      </c>
      <c r="L31" s="498"/>
      <c r="M31" s="498"/>
      <c r="N31" s="400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 s="9" customFormat="1" ht="36.75" customHeight="1" x14ac:dyDescent="0.4">
      <c r="A32" s="2198" t="s">
        <v>1908</v>
      </c>
      <c r="B32" s="2199"/>
      <c r="C32" s="2199"/>
      <c r="D32" s="952">
        <v>1125</v>
      </c>
      <c r="E32" s="566">
        <v>0</v>
      </c>
      <c r="F32" s="612">
        <v>0</v>
      </c>
      <c r="G32" s="612">
        <v>0</v>
      </c>
      <c r="H32" s="601">
        <f t="shared" si="1"/>
        <v>0</v>
      </c>
      <c r="I32" s="566">
        <v>2.1</v>
      </c>
      <c r="J32" s="612">
        <v>0</v>
      </c>
      <c r="K32" s="602">
        <f t="shared" si="0"/>
        <v>2.1</v>
      </c>
      <c r="L32" s="498">
        <f>ROUND(('Звіт   9'!H34+'Звіт   9'!H35),1)</f>
        <v>0</v>
      </c>
      <c r="M32" s="498"/>
      <c r="N32" s="400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 s="9" customFormat="1" ht="22.35" customHeight="1" x14ac:dyDescent="0.3">
      <c r="A33" s="2280" t="s">
        <v>1909</v>
      </c>
      <c r="B33" s="2281"/>
      <c r="C33" s="2281"/>
      <c r="D33" s="35" t="s">
        <v>759</v>
      </c>
      <c r="E33" s="566">
        <v>0</v>
      </c>
      <c r="F33" s="612">
        <v>0</v>
      </c>
      <c r="G33" s="612">
        <v>0</v>
      </c>
      <c r="H33" s="601">
        <f t="shared" si="1"/>
        <v>0</v>
      </c>
      <c r="I33" s="566">
        <v>0</v>
      </c>
      <c r="J33" s="612">
        <v>0</v>
      </c>
      <c r="K33" s="602">
        <f t="shared" si="0"/>
        <v>0</v>
      </c>
      <c r="L33" s="2291" t="s">
        <v>2070</v>
      </c>
      <c r="M33" s="2291"/>
      <c r="N33" s="2291"/>
      <c r="O33" s="2291"/>
      <c r="P33" s="998"/>
      <c r="Q33" s="1003"/>
      <c r="R33" s="1004"/>
      <c r="S33" s="968"/>
      <c r="T33" s="1003"/>
      <c r="U33" s="1004"/>
      <c r="V33" s="968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 s="9" customFormat="1" ht="38.25" customHeight="1" x14ac:dyDescent="0.3">
      <c r="A34" s="2282" t="s">
        <v>1910</v>
      </c>
      <c r="B34" s="2283"/>
      <c r="C34" s="2284"/>
      <c r="D34" s="35" t="s">
        <v>1388</v>
      </c>
      <c r="E34" s="566">
        <v>0</v>
      </c>
      <c r="F34" s="612">
        <v>0</v>
      </c>
      <c r="G34" s="612">
        <v>0</v>
      </c>
      <c r="H34" s="601">
        <f t="shared" si="1"/>
        <v>0</v>
      </c>
      <c r="I34" s="566">
        <v>0</v>
      </c>
      <c r="J34" s="612">
        <v>0</v>
      </c>
      <c r="K34" s="602">
        <f t="shared" si="0"/>
        <v>0</v>
      </c>
      <c r="L34" s="1001"/>
      <c r="M34" s="1001"/>
      <c r="N34" s="1001"/>
      <c r="O34" s="1001"/>
      <c r="P34" s="197"/>
      <c r="Q34" s="999"/>
      <c r="R34" s="1000"/>
      <c r="S34" s="968"/>
      <c r="T34" s="1003"/>
      <c r="U34" s="1004"/>
      <c r="V34" s="968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 s="9" customFormat="1" ht="30.75" customHeight="1" x14ac:dyDescent="0.3">
      <c r="A35" s="2282" t="s">
        <v>1985</v>
      </c>
      <c r="B35" s="2283"/>
      <c r="C35" s="2284"/>
      <c r="D35" s="35" t="s">
        <v>1797</v>
      </c>
      <c r="E35" s="566">
        <v>0</v>
      </c>
      <c r="F35" s="612">
        <v>0</v>
      </c>
      <c r="G35" s="612">
        <v>0</v>
      </c>
      <c r="H35" s="601">
        <f t="shared" si="1"/>
        <v>0</v>
      </c>
      <c r="I35" s="566">
        <v>0</v>
      </c>
      <c r="J35" s="612">
        <v>0</v>
      </c>
      <c r="K35" s="602">
        <f t="shared" si="0"/>
        <v>0</v>
      </c>
      <c r="L35" s="2292"/>
      <c r="M35" s="2292"/>
      <c r="N35" s="2292"/>
      <c r="O35" s="2292"/>
      <c r="P35" s="2292"/>
      <c r="Q35" s="2292"/>
      <c r="R35" s="2292"/>
      <c r="S35" s="968"/>
      <c r="T35" s="1003"/>
      <c r="U35" s="1004"/>
      <c r="V35" s="968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 s="9" customFormat="1" ht="24" customHeight="1" x14ac:dyDescent="0.4">
      <c r="A36" s="2198" t="s">
        <v>318</v>
      </c>
      <c r="B36" s="2199"/>
      <c r="C36" s="2199"/>
      <c r="D36" s="1381">
        <v>1129</v>
      </c>
      <c r="E36" s="566"/>
      <c r="F36" s="612"/>
      <c r="G36" s="612"/>
      <c r="H36" s="601">
        <f t="shared" si="1"/>
        <v>0</v>
      </c>
      <c r="I36" s="566"/>
      <c r="J36" s="612"/>
      <c r="K36" s="602">
        <f t="shared" si="0"/>
        <v>0</v>
      </c>
      <c r="L36" s="498"/>
      <c r="M36" s="498"/>
      <c r="N36" s="400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s="9" customFormat="1" ht="22.35" customHeight="1" x14ac:dyDescent="0.4">
      <c r="A37" s="2198" t="s">
        <v>111</v>
      </c>
      <c r="B37" s="2199"/>
      <c r="C37" s="2199"/>
      <c r="D37" s="952">
        <v>1130</v>
      </c>
      <c r="E37" s="566">
        <v>0</v>
      </c>
      <c r="F37" s="612">
        <v>0</v>
      </c>
      <c r="G37" s="612">
        <v>0</v>
      </c>
      <c r="H37" s="601">
        <f t="shared" si="1"/>
        <v>0</v>
      </c>
      <c r="I37" s="566">
        <v>0</v>
      </c>
      <c r="J37" s="612">
        <v>0</v>
      </c>
      <c r="K37" s="602">
        <f t="shared" si="0"/>
        <v>0</v>
      </c>
      <c r="L37" s="498"/>
      <c r="M37" s="498"/>
      <c r="N37" s="400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s="9" customFormat="1" ht="22.35" customHeight="1" x14ac:dyDescent="0.4">
      <c r="A38" s="2198" t="s">
        <v>112</v>
      </c>
      <c r="B38" s="2199"/>
      <c r="C38" s="2199"/>
      <c r="D38" s="952">
        <v>1135</v>
      </c>
      <c r="E38" s="566">
        <v>3.9</v>
      </c>
      <c r="F38" s="612">
        <v>0</v>
      </c>
      <c r="G38" s="612">
        <v>0</v>
      </c>
      <c r="H38" s="601">
        <f t="shared" si="1"/>
        <v>3.9</v>
      </c>
      <c r="I38" s="566">
        <v>9.1</v>
      </c>
      <c r="J38" s="612">
        <v>0</v>
      </c>
      <c r="K38" s="602">
        <f t="shared" si="0"/>
        <v>9.1</v>
      </c>
      <c r="L38" s="498"/>
      <c r="M38" s="498"/>
      <c r="N38" s="400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s="9" customFormat="1" ht="22.35" customHeight="1" x14ac:dyDescent="0.4">
      <c r="A39" s="2273" t="s">
        <v>113</v>
      </c>
      <c r="B39" s="2274"/>
      <c r="C39" s="2274"/>
      <c r="D39" s="37">
        <v>1136</v>
      </c>
      <c r="E39" s="566">
        <v>0</v>
      </c>
      <c r="F39" s="612">
        <v>0</v>
      </c>
      <c r="G39" s="612">
        <v>0</v>
      </c>
      <c r="H39" s="601">
        <f t="shared" si="1"/>
        <v>0</v>
      </c>
      <c r="I39" s="566">
        <v>0</v>
      </c>
      <c r="J39" s="612">
        <v>0</v>
      </c>
      <c r="K39" s="602">
        <f t="shared" si="0"/>
        <v>0</v>
      </c>
      <c r="L39" s="498"/>
      <c r="M39" s="498"/>
      <c r="N39" s="400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s="9" customFormat="1" ht="22.35" customHeight="1" x14ac:dyDescent="0.4">
      <c r="A40" s="2198" t="s">
        <v>714</v>
      </c>
      <c r="B40" s="2199"/>
      <c r="C40" s="2199"/>
      <c r="D40" s="952">
        <v>1155</v>
      </c>
      <c r="E40" s="566">
        <v>495.8</v>
      </c>
      <c r="F40" s="612">
        <v>0</v>
      </c>
      <c r="G40" s="612">
        <v>0</v>
      </c>
      <c r="H40" s="601">
        <f t="shared" si="1"/>
        <v>495.8</v>
      </c>
      <c r="I40" s="566">
        <f>560.8+330-63</f>
        <v>827.8</v>
      </c>
      <c r="J40" s="612">
        <v>0</v>
      </c>
      <c r="K40" s="602">
        <f t="shared" si="0"/>
        <v>827.8</v>
      </c>
      <c r="L40" s="498"/>
      <c r="M40" s="1458"/>
      <c r="N40" s="400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9" customFormat="1" ht="22.35" customHeight="1" x14ac:dyDescent="0.4">
      <c r="A41" s="2238" t="s">
        <v>715</v>
      </c>
      <c r="B41" s="2239"/>
      <c r="C41" s="2239"/>
      <c r="D41" s="117" t="s">
        <v>760</v>
      </c>
      <c r="E41" s="566">
        <v>269.8</v>
      </c>
      <c r="F41" s="612">
        <v>0</v>
      </c>
      <c r="G41" s="612">
        <v>0</v>
      </c>
      <c r="H41" s="601">
        <f t="shared" si="1"/>
        <v>269.8</v>
      </c>
      <c r="I41" s="566">
        <v>334</v>
      </c>
      <c r="J41" s="612">
        <v>0</v>
      </c>
      <c r="K41" s="602">
        <f t="shared" si="0"/>
        <v>334</v>
      </c>
      <c r="L41" s="498"/>
      <c r="M41" s="498"/>
      <c r="N41" s="73">
        <v>378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s="9" customFormat="1" ht="43.5" customHeight="1" x14ac:dyDescent="0.4">
      <c r="A42" s="2280" t="s">
        <v>728</v>
      </c>
      <c r="B42" s="2281"/>
      <c r="C42" s="2281"/>
      <c r="D42" s="117" t="s">
        <v>761</v>
      </c>
      <c r="E42" s="566">
        <v>0</v>
      </c>
      <c r="F42" s="612">
        <v>0</v>
      </c>
      <c r="G42" s="612">
        <v>0</v>
      </c>
      <c r="H42" s="601">
        <f t="shared" si="1"/>
        <v>0</v>
      </c>
      <c r="I42" s="566">
        <v>0</v>
      </c>
      <c r="J42" s="612">
        <v>0</v>
      </c>
      <c r="K42" s="602">
        <f t="shared" si="0"/>
        <v>0</v>
      </c>
      <c r="L42" s="501"/>
      <c r="M42" s="501"/>
      <c r="N42" s="73">
        <v>377</v>
      </c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s="9" customFormat="1" ht="42" customHeight="1" x14ac:dyDescent="0.4">
      <c r="A43" s="2280" t="s">
        <v>1884</v>
      </c>
      <c r="B43" s="2281"/>
      <c r="C43" s="2281"/>
      <c r="D43" s="117" t="s">
        <v>762</v>
      </c>
      <c r="E43" s="601">
        <f t="shared" ref="E43:K43" si="3">E44+E45</f>
        <v>0</v>
      </c>
      <c r="F43" s="601">
        <f t="shared" si="3"/>
        <v>0</v>
      </c>
      <c r="G43" s="601">
        <f t="shared" si="3"/>
        <v>0</v>
      </c>
      <c r="H43" s="601">
        <f t="shared" si="3"/>
        <v>0</v>
      </c>
      <c r="I43" s="601">
        <f t="shared" si="3"/>
        <v>267</v>
      </c>
      <c r="J43" s="601">
        <f t="shared" si="3"/>
        <v>0</v>
      </c>
      <c r="K43" s="602">
        <f t="shared" si="3"/>
        <v>267</v>
      </c>
      <c r="L43" s="501">
        <v>4</v>
      </c>
      <c r="M43" s="501"/>
      <c r="N43" s="400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s="9" customFormat="1" ht="42" customHeight="1" x14ac:dyDescent="0.4">
      <c r="A44" s="2277" t="s">
        <v>1885</v>
      </c>
      <c r="B44" s="2278"/>
      <c r="C44" s="2279"/>
      <c r="D44" s="117" t="s">
        <v>1882</v>
      </c>
      <c r="E44" s="566"/>
      <c r="F44" s="612">
        <v>0</v>
      </c>
      <c r="G44" s="612">
        <v>0</v>
      </c>
      <c r="H44" s="601">
        <f>ROUND((E44+F44+G44),1)</f>
        <v>0</v>
      </c>
      <c r="I44" s="566">
        <f>330-63</f>
        <v>267</v>
      </c>
      <c r="J44" s="612">
        <v>0</v>
      </c>
      <c r="K44" s="602">
        <f>ROUND((I44+J44),1)</f>
        <v>267</v>
      </c>
      <c r="L44" s="501"/>
      <c r="M44" s="501"/>
      <c r="N44" s="400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s="9" customFormat="1" ht="18.75" customHeight="1" x14ac:dyDescent="0.4">
      <c r="A45" s="2277" t="s">
        <v>1891</v>
      </c>
      <c r="B45" s="2278"/>
      <c r="C45" s="2279"/>
      <c r="D45" s="117" t="s">
        <v>1883</v>
      </c>
      <c r="E45" s="566">
        <v>0</v>
      </c>
      <c r="F45" s="612">
        <v>0</v>
      </c>
      <c r="G45" s="612">
        <v>0</v>
      </c>
      <c r="H45" s="601">
        <f>ROUND((E45+F45+G45),1)</f>
        <v>0</v>
      </c>
      <c r="I45" s="566">
        <v>0</v>
      </c>
      <c r="J45" s="612">
        <v>0</v>
      </c>
      <c r="K45" s="602">
        <f>ROUND((I45+J45),1)</f>
        <v>0</v>
      </c>
      <c r="L45" s="501"/>
      <c r="M45" s="501"/>
      <c r="N45" s="400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9" customFormat="1" ht="38.25" customHeight="1" x14ac:dyDescent="0.3">
      <c r="A46" s="2280" t="s">
        <v>2084</v>
      </c>
      <c r="B46" s="2281"/>
      <c r="C46" s="2281"/>
      <c r="D46" s="117" t="s">
        <v>1880</v>
      </c>
      <c r="E46" s="601">
        <f>'Звіт Пацієнт '!F52</f>
        <v>0</v>
      </c>
      <c r="F46" s="601">
        <f>'Звіт Пацієнт '!G52</f>
        <v>0</v>
      </c>
      <c r="G46" s="601">
        <f>'Звіт Пацієнт '!H52</f>
        <v>0</v>
      </c>
      <c r="H46" s="601">
        <f>ROUND((E46+F46+G46),1)</f>
        <v>0</v>
      </c>
      <c r="I46" s="601">
        <f>'Звіт Пацієнт '!J52</f>
        <v>0</v>
      </c>
      <c r="J46" s="601">
        <f>'Звіт Пацієнт '!K52</f>
        <v>0</v>
      </c>
      <c r="K46" s="602">
        <f>ROUND((I46+J46),1)</f>
        <v>0</v>
      </c>
      <c r="L46" s="2287"/>
      <c r="M46" s="2287"/>
      <c r="N46" s="2287"/>
      <c r="O46" s="2287"/>
      <c r="P46" s="2287"/>
      <c r="Q46" s="2287"/>
      <c r="R46" s="2287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s="9" customFormat="1" ht="36" customHeight="1" x14ac:dyDescent="0.3">
      <c r="A47" s="2282" t="s">
        <v>1985</v>
      </c>
      <c r="B47" s="2283"/>
      <c r="C47" s="2284"/>
      <c r="D47" s="117" t="s">
        <v>1881</v>
      </c>
      <c r="E47" s="566">
        <v>0</v>
      </c>
      <c r="F47" s="612">
        <v>0</v>
      </c>
      <c r="G47" s="612">
        <v>0</v>
      </c>
      <c r="H47" s="601">
        <f>ROUND((E47+F47+G47),1)</f>
        <v>0</v>
      </c>
      <c r="I47" s="566">
        <v>0</v>
      </c>
      <c r="J47" s="612">
        <v>0</v>
      </c>
      <c r="K47" s="602">
        <f>ROUND((I47+J47),1)</f>
        <v>0</v>
      </c>
      <c r="L47" s="1556"/>
      <c r="M47" s="1556"/>
      <c r="N47" s="1556"/>
      <c r="O47" s="1556"/>
      <c r="P47" s="1556"/>
      <c r="Q47" s="1556"/>
      <c r="R47" s="1556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s="9" customFormat="1" ht="22.35" customHeight="1" x14ac:dyDescent="0.4">
      <c r="A48" s="2198" t="s">
        <v>114</v>
      </c>
      <c r="B48" s="2199"/>
      <c r="C48" s="2199"/>
      <c r="D48" s="952">
        <v>1160</v>
      </c>
      <c r="E48" s="566">
        <v>0</v>
      </c>
      <c r="F48" s="612">
        <v>0</v>
      </c>
      <c r="G48" s="612">
        <v>0</v>
      </c>
      <c r="H48" s="601">
        <f t="shared" si="1"/>
        <v>0</v>
      </c>
      <c r="I48" s="566">
        <v>0</v>
      </c>
      <c r="J48" s="612">
        <v>0</v>
      </c>
      <c r="K48" s="602">
        <f t="shared" si="0"/>
        <v>0</v>
      </c>
      <c r="L48" s="498"/>
      <c r="M48" s="498"/>
      <c r="N48" s="400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s="9" customFormat="1" ht="22.35" customHeight="1" x14ac:dyDescent="0.4">
      <c r="A49" s="2198" t="s">
        <v>115</v>
      </c>
      <c r="B49" s="2199"/>
      <c r="C49" s="2199"/>
      <c r="D49" s="952">
        <v>1165</v>
      </c>
      <c r="E49" s="566">
        <v>3908.7</v>
      </c>
      <c r="F49" s="612">
        <v>0</v>
      </c>
      <c r="G49" s="612">
        <v>0</v>
      </c>
      <c r="H49" s="601">
        <f t="shared" si="1"/>
        <v>3908.7</v>
      </c>
      <c r="I49" s="566">
        <v>12727.5</v>
      </c>
      <c r="J49" s="612">
        <v>0</v>
      </c>
      <c r="K49" s="602">
        <f t="shared" si="0"/>
        <v>12727.5</v>
      </c>
      <c r="L49" s="498"/>
      <c r="M49" s="498"/>
      <c r="N49" s="400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s="9" customFormat="1" ht="22.35" customHeight="1" x14ac:dyDescent="0.4">
      <c r="A50" s="2198" t="s">
        <v>116</v>
      </c>
      <c r="B50" s="2199"/>
      <c r="C50" s="2199"/>
      <c r="D50" s="952">
        <v>1170</v>
      </c>
      <c r="E50" s="566">
        <v>4.7</v>
      </c>
      <c r="F50" s="612">
        <v>0</v>
      </c>
      <c r="G50" s="612">
        <v>0</v>
      </c>
      <c r="H50" s="601">
        <f t="shared" si="1"/>
        <v>4.7</v>
      </c>
      <c r="I50" s="566">
        <v>14.2</v>
      </c>
      <c r="J50" s="612">
        <v>0</v>
      </c>
      <c r="K50" s="602">
        <f t="shared" si="0"/>
        <v>14.2</v>
      </c>
      <c r="L50" s="498"/>
      <c r="M50" s="498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9" customFormat="1" ht="22.35" customHeight="1" x14ac:dyDescent="0.4">
      <c r="A51" s="2198" t="s">
        <v>117</v>
      </c>
      <c r="B51" s="2199"/>
      <c r="C51" s="2199"/>
      <c r="D51" s="952">
        <v>1190</v>
      </c>
      <c r="E51" s="566">
        <v>0</v>
      </c>
      <c r="F51" s="612">
        <v>0</v>
      </c>
      <c r="G51" s="612">
        <v>0</v>
      </c>
      <c r="H51" s="601">
        <f t="shared" si="1"/>
        <v>0</v>
      </c>
      <c r="I51" s="566">
        <v>0</v>
      </c>
      <c r="J51" s="612">
        <v>0</v>
      </c>
      <c r="K51" s="602">
        <f t="shared" si="0"/>
        <v>0</v>
      </c>
      <c r="L51" s="498"/>
      <c r="M51" s="498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s="9" customFormat="1" ht="26.1" customHeight="1" thickBot="1" x14ac:dyDescent="0.4">
      <c r="A52" s="2265" t="s">
        <v>118</v>
      </c>
      <c r="B52" s="2266"/>
      <c r="C52" s="2266"/>
      <c r="D52" s="191">
        <v>1195</v>
      </c>
      <c r="E52" s="606">
        <f t="shared" ref="E52:K52" si="4">SUM(E30,E31,E32,E37,E38,E48,E49,E50,E51,E40)</f>
        <v>33026.199999999997</v>
      </c>
      <c r="F52" s="606">
        <f t="shared" si="4"/>
        <v>0</v>
      </c>
      <c r="G52" s="606">
        <f t="shared" si="4"/>
        <v>0</v>
      </c>
      <c r="H52" s="606">
        <f t="shared" si="4"/>
        <v>33026.199999999997</v>
      </c>
      <c r="I52" s="606">
        <f t="shared" si="4"/>
        <v>44514.5</v>
      </c>
      <c r="J52" s="606">
        <f t="shared" si="4"/>
        <v>0</v>
      </c>
      <c r="K52" s="1402">
        <f t="shared" si="4"/>
        <v>44514.5</v>
      </c>
      <c r="L52" s="499"/>
      <c r="M52" s="499"/>
      <c r="N52" s="400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s="9" customFormat="1" ht="24.75" customHeight="1" thickBot="1" x14ac:dyDescent="0.4">
      <c r="A53" s="2275" t="s">
        <v>119</v>
      </c>
      <c r="B53" s="2276"/>
      <c r="C53" s="2276"/>
      <c r="D53" s="1407">
        <v>1200</v>
      </c>
      <c r="E53" s="1408">
        <v>0</v>
      </c>
      <c r="F53" s="1409">
        <v>0</v>
      </c>
      <c r="G53" s="1409">
        <v>0</v>
      </c>
      <c r="H53" s="1410">
        <f t="shared" si="1"/>
        <v>0</v>
      </c>
      <c r="I53" s="1408">
        <v>0</v>
      </c>
      <c r="J53" s="1409">
        <v>0</v>
      </c>
      <c r="K53" s="1411">
        <f t="shared" si="0"/>
        <v>0</v>
      </c>
      <c r="L53" s="1043">
        <f>'Звіт   9'!H32+'Звіт   9'!H37+'Звіт   9'!H38+'Звіт   9'!H40+'Звіт   9'!H48+'Звіт   9'!H49+'Звіт   9'!H50+'Звіт   9'!H51</f>
        <v>4413.1000000000004</v>
      </c>
      <c r="M53" s="1043">
        <f>'Звіт   9'!$K$32+'Звіт   9'!$K$37+'Звіт   9'!$K$38+'Звіт   9'!$K$40+'Звіт   9'!$K$48+'Звіт   9'!$K$49+'Звіт   9'!$K$50+'Звіт   9'!$K$51</f>
        <v>13580.7</v>
      </c>
      <c r="N53" s="400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s="9" customFormat="1" ht="28.15" customHeight="1" thickBot="1" x14ac:dyDescent="0.4">
      <c r="A54" s="2285" t="s">
        <v>120</v>
      </c>
      <c r="B54" s="2286"/>
      <c r="C54" s="2286"/>
      <c r="D54" s="607">
        <v>1300</v>
      </c>
      <c r="E54" s="608">
        <f>SUM(E28,E52,E53)</f>
        <v>71621.5</v>
      </c>
      <c r="F54" s="609">
        <f t="shared" ref="F54:K54" si="5">SUM(F28,F52,F53)</f>
        <v>0</v>
      </c>
      <c r="G54" s="609">
        <f t="shared" si="5"/>
        <v>9919.4</v>
      </c>
      <c r="H54" s="609">
        <f t="shared" si="5"/>
        <v>81540.899999999994</v>
      </c>
      <c r="I54" s="608">
        <f t="shared" si="5"/>
        <v>94342.2</v>
      </c>
      <c r="J54" s="609">
        <f t="shared" si="5"/>
        <v>0</v>
      </c>
      <c r="K54" s="1405">
        <f t="shared" si="5"/>
        <v>94342.2</v>
      </c>
      <c r="L54" s="502"/>
      <c r="M54" s="502"/>
      <c r="N54" s="961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s="9" customFormat="1" ht="45.6" customHeight="1" x14ac:dyDescent="0.3">
      <c r="A55" s="2200" t="s">
        <v>121</v>
      </c>
      <c r="B55" s="2201"/>
      <c r="C55" s="2201"/>
      <c r="D55" s="236" t="str">
        <f>D7</f>
        <v>Код рядка</v>
      </c>
      <c r="E55" s="570" t="s">
        <v>96</v>
      </c>
      <c r="F55" s="571" t="str">
        <f t="shared" ref="F55:K55" si="6">F7</f>
        <v xml:space="preserve">Коригування </v>
      </c>
      <c r="G55" s="571" t="str">
        <f t="shared" si="6"/>
        <v>З балансу на баланс у звітному періоді</v>
      </c>
      <c r="H55" s="571" t="str">
        <f t="shared" si="6"/>
        <v>На початок звітного періоду з урахуванням коригування та прийняття на баланс</v>
      </c>
      <c r="I55" s="570" t="str">
        <f t="shared" si="6"/>
        <v>На кінець звітного періоду</v>
      </c>
      <c r="J55" s="571" t="str">
        <f t="shared" si="6"/>
        <v xml:space="preserve">Коригування </v>
      </c>
      <c r="K55" s="1020" t="str">
        <f t="shared" si="6"/>
        <v>На кінець звітного періоду з урахуванням коригування</v>
      </c>
      <c r="L55" s="2212" t="s">
        <v>1886</v>
      </c>
      <c r="M55" s="2212"/>
      <c r="N55" s="962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9" customFormat="1" ht="22.35" customHeight="1" thickBot="1" x14ac:dyDescent="0.35">
      <c r="A56" s="2202">
        <f>A11</f>
        <v>1</v>
      </c>
      <c r="B56" s="2203"/>
      <c r="C56" s="2204"/>
      <c r="D56" s="237">
        <f>D11</f>
        <v>2</v>
      </c>
      <c r="E56" s="572">
        <f>E11</f>
        <v>3</v>
      </c>
      <c r="F56" s="614">
        <f t="shared" ref="F56:K56" si="7">F11</f>
        <v>4</v>
      </c>
      <c r="G56" s="614" t="str">
        <f t="shared" si="7"/>
        <v>4а</v>
      </c>
      <c r="H56" s="614">
        <f t="shared" si="7"/>
        <v>5</v>
      </c>
      <c r="I56" s="572">
        <f t="shared" si="7"/>
        <v>6</v>
      </c>
      <c r="J56" s="614">
        <f t="shared" si="7"/>
        <v>7</v>
      </c>
      <c r="K56" s="1021">
        <f t="shared" si="7"/>
        <v>8</v>
      </c>
      <c r="L56" s="1044">
        <f>('Звіт 10, 11,12,13,14'!K21-'Звіт 10, 11,12,13,14'!K22)/1000</f>
        <v>24482.1</v>
      </c>
      <c r="M56" s="1044">
        <f>('Звіт 10, 11,12,13,14'!AG21-'Звіт 10, 11,12,13,14'!AG22)/1000</f>
        <v>24378.1</v>
      </c>
      <c r="N56" s="96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s="9" customFormat="1" ht="22.35" customHeight="1" x14ac:dyDescent="0.35">
      <c r="A57" s="2205" t="s">
        <v>275</v>
      </c>
      <c r="B57" s="2206"/>
      <c r="C57" s="2206"/>
      <c r="D57" s="1381">
        <v>1399</v>
      </c>
      <c r="E57" s="573"/>
      <c r="F57" s="574"/>
      <c r="G57" s="574"/>
      <c r="H57" s="574"/>
      <c r="I57" s="574"/>
      <c r="J57" s="574"/>
      <c r="K57" s="1022"/>
      <c r="L57" s="1400" t="s">
        <v>1352</v>
      </c>
      <c r="M57" s="1045">
        <f>H58-K58</f>
        <v>0</v>
      </c>
      <c r="N57" s="964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s="9" customFormat="1" ht="22.35" customHeight="1" x14ac:dyDescent="0.3">
      <c r="A58" s="2198" t="s">
        <v>535</v>
      </c>
      <c r="B58" s="2199"/>
      <c r="C58" s="2199"/>
      <c r="D58" s="35">
        <v>1400</v>
      </c>
      <c r="E58" s="566">
        <v>46007.1</v>
      </c>
      <c r="F58" s="612">
        <v>0</v>
      </c>
      <c r="G58" s="612">
        <v>0</v>
      </c>
      <c r="H58" s="601">
        <f>ROUND((E58+F58+G58),1)</f>
        <v>46007.1</v>
      </c>
      <c r="I58" s="566">
        <v>46007.1</v>
      </c>
      <c r="J58" s="612">
        <v>0</v>
      </c>
      <c r="K58" s="602">
        <f>ROUND((I58+J58),1)</f>
        <v>46007.1</v>
      </c>
      <c r="L58" s="2213" t="s">
        <v>1902</v>
      </c>
      <c r="M58" s="2214"/>
      <c r="N58" s="968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s="9" customFormat="1" ht="22.35" customHeight="1" x14ac:dyDescent="0.3">
      <c r="A59" s="2198" t="s">
        <v>122</v>
      </c>
      <c r="B59" s="2199"/>
      <c r="C59" s="2199"/>
      <c r="D59" s="35">
        <v>1405</v>
      </c>
      <c r="E59" s="566">
        <v>0</v>
      </c>
      <c r="F59" s="612">
        <v>0</v>
      </c>
      <c r="G59" s="612">
        <v>0</v>
      </c>
      <c r="H59" s="601">
        <f t="shared" si="1"/>
        <v>0</v>
      </c>
      <c r="I59" s="566">
        <v>0</v>
      </c>
      <c r="J59" s="612">
        <v>0</v>
      </c>
      <c r="K59" s="602">
        <f t="shared" si="0"/>
        <v>0</v>
      </c>
      <c r="L59" s="2213"/>
      <c r="M59" s="2214"/>
      <c r="N59" s="398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s="9" customFormat="1" ht="22.35" customHeight="1" x14ac:dyDescent="0.3">
      <c r="A60" s="2207" t="s">
        <v>706</v>
      </c>
      <c r="B60" s="2208"/>
      <c r="C60" s="2208"/>
      <c r="D60" s="117">
        <v>1410</v>
      </c>
      <c r="E60" s="566">
        <f>23681.1-9919.4</f>
        <v>13761.7</v>
      </c>
      <c r="F60" s="612">
        <v>0</v>
      </c>
      <c r="G60" s="612">
        <v>9919.4</v>
      </c>
      <c r="H60" s="601">
        <f t="shared" si="1"/>
        <v>23681.1</v>
      </c>
      <c r="I60" s="566">
        <f>23659.6-244.8</f>
        <v>23414.799999999999</v>
      </c>
      <c r="J60" s="612">
        <v>0</v>
      </c>
      <c r="K60" s="602">
        <f t="shared" si="0"/>
        <v>23414.799999999999</v>
      </c>
      <c r="L60" s="2215"/>
      <c r="M60" s="2216"/>
      <c r="N60" s="400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9" customFormat="1" ht="19.5" customHeight="1" thickBot="1" x14ac:dyDescent="0.35">
      <c r="A61" s="2254" t="s">
        <v>707</v>
      </c>
      <c r="B61" s="2255"/>
      <c r="C61" s="2255"/>
      <c r="D61" s="117" t="s">
        <v>763</v>
      </c>
      <c r="E61" s="566">
        <f>23681.1-9919.4</f>
        <v>13761.7</v>
      </c>
      <c r="F61" s="612">
        <v>0</v>
      </c>
      <c r="G61" s="612">
        <v>9919.4</v>
      </c>
      <c r="H61" s="601">
        <f>ROUND((E61+F61+G61),1)</f>
        <v>23681.1</v>
      </c>
      <c r="I61" s="566">
        <f>23659.6-244.8</f>
        <v>23414.799999999999</v>
      </c>
      <c r="J61" s="612">
        <v>0</v>
      </c>
      <c r="K61" s="602">
        <f>ROUND((I61+J61),1)</f>
        <v>23414.799999999999</v>
      </c>
      <c r="L61" s="2217"/>
      <c r="M61" s="2218"/>
      <c r="N61" s="398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s="9" customFormat="1" ht="21.75" customHeight="1" x14ac:dyDescent="0.3">
      <c r="A62" s="2209" t="s">
        <v>708</v>
      </c>
      <c r="B62" s="2210"/>
      <c r="C62" s="2211"/>
      <c r="D62" s="117" t="s">
        <v>764</v>
      </c>
      <c r="E62" s="603">
        <f t="shared" ref="E62:J62" si="8">ROUND((E60-E61),1)</f>
        <v>0</v>
      </c>
      <c r="F62" s="616">
        <f t="shared" si="8"/>
        <v>0</v>
      </c>
      <c r="G62" s="616">
        <f>ROUND((G60-G61),1)</f>
        <v>0</v>
      </c>
      <c r="H62" s="601">
        <f t="shared" si="1"/>
        <v>0</v>
      </c>
      <c r="I62" s="603">
        <f t="shared" si="8"/>
        <v>0</v>
      </c>
      <c r="J62" s="616">
        <f t="shared" si="8"/>
        <v>0</v>
      </c>
      <c r="K62" s="602">
        <f t="shared" si="0"/>
        <v>0</v>
      </c>
      <c r="L62" s="1043">
        <f>'Звіт   9'!H78+'Звіт   9'!H81+'Звіт   9'!H83+'Звіт   9'!H84+'Звіт   9'!H85+'Звіт   9'!H87+'Звіт   9'!H88+'Звіт   9'!H92+'Звіт   9'!H96-'Звіт   9'!H96*('Звіт   4,5,6'!O43/'Звіт   4,5,6'!E43)+'Звіт   9'!H99+'Звіт   9'!H100</f>
        <v>1251.9000000000001</v>
      </c>
      <c r="M62" s="1043">
        <f>'Звіт   9'!$K$81+'Звіт   9'!$K$83+'Звіт   9'!$K$84+'Звіт   9'!$K$85+'Звіт   9'!$K$87+'Звіт   9'!$K$88+'Звіт   9'!$K$92+'Звіт   9'!$K$96-'Звіт   9'!$K$96*('Звіт   4,5,6'!O43/'Звіт   4,5,6'!E43)+'Звіт   9'!$K$99+'Звіт   9'!$K$100+'Звіт   9'!K78</f>
        <v>5934.3</v>
      </c>
      <c r="N62" s="398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s="9" customFormat="1" ht="27" customHeight="1" x14ac:dyDescent="0.3">
      <c r="A63" s="2207" t="s">
        <v>124</v>
      </c>
      <c r="B63" s="2208"/>
      <c r="C63" s="2208"/>
      <c r="D63" s="117">
        <v>1415</v>
      </c>
      <c r="E63" s="575">
        <v>0</v>
      </c>
      <c r="F63" s="615">
        <v>0</v>
      </c>
      <c r="G63" s="615">
        <v>0</v>
      </c>
      <c r="H63" s="601">
        <f t="shared" si="1"/>
        <v>0</v>
      </c>
      <c r="I63" s="575"/>
      <c r="J63" s="575"/>
      <c r="K63" s="602">
        <f t="shared" si="0"/>
        <v>0</v>
      </c>
      <c r="L63" s="1043">
        <f>('Звіт 10, 11,12,13,14'!L11-'Звіт 10, 11,12,13,14'!L12+'Звіт 10, 11,12,13,14'!L17+'Звіт 10, 11,12,13,14'!L21-'Звіт 10, 11,12,13,14'!L22+'Звіт 10, 11,12,13,14'!L27)/1000</f>
        <v>1582.4</v>
      </c>
      <c r="M63" s="1043">
        <f>('Звіт 10, 11,12,13,14'!AH11-'Звіт 10, 11,12,13,14'!AH12+'Звіт 10, 11,12,13,14'!AH17+'Звіт 10, 11,12,13,14'!AH21-'Звіт 10, 11,12,13,14'!AH22+'Звіт 10, 11,12,13,14'!AH27-'Звіт 10, 11,12,13,14'!Y22)/1000</f>
        <v>1819.7</v>
      </c>
      <c r="N63" s="877" t="s">
        <v>570</v>
      </c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s="9" customFormat="1" ht="22.35" customHeight="1" thickBot="1" x14ac:dyDescent="0.4">
      <c r="A64" s="2196" t="s">
        <v>125</v>
      </c>
      <c r="B64" s="2197"/>
      <c r="C64" s="2197"/>
      <c r="D64" s="953">
        <v>1420</v>
      </c>
      <c r="E64" s="575">
        <v>4517.6000000000004</v>
      </c>
      <c r="F64" s="615">
        <v>226</v>
      </c>
      <c r="G64" s="615">
        <v>0</v>
      </c>
      <c r="H64" s="601">
        <f t="shared" si="1"/>
        <v>4743.6000000000004</v>
      </c>
      <c r="I64" s="575">
        <f>4517.6+15265.4-63+289-10542.9</f>
        <v>9466.1</v>
      </c>
      <c r="J64" s="615">
        <v>0</v>
      </c>
      <c r="K64" s="602">
        <f t="shared" si="0"/>
        <v>9466.1</v>
      </c>
      <c r="L64" s="1413">
        <f>L53-L62+L63</f>
        <v>4743.6000000000004</v>
      </c>
      <c r="M64" s="1414">
        <f>M53-M62+M63</f>
        <v>9466.1</v>
      </c>
      <c r="N64" s="2272"/>
      <c r="O64" s="2267"/>
      <c r="P64" s="2267"/>
      <c r="Q64" s="2267"/>
      <c r="R64" s="2267"/>
      <c r="S64" s="2267"/>
      <c r="T64" s="2267"/>
      <c r="U64" s="2267"/>
      <c r="V64" s="2267"/>
      <c r="W64" s="2267"/>
      <c r="X64" s="2267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s="9" customFormat="1" ht="22.35" customHeight="1" x14ac:dyDescent="0.3">
      <c r="A65" s="2198" t="s">
        <v>126</v>
      </c>
      <c r="B65" s="2199"/>
      <c r="C65" s="2199"/>
      <c r="D65" s="35">
        <v>1425</v>
      </c>
      <c r="E65" s="575">
        <v>-21299</v>
      </c>
      <c r="F65" s="615">
        <v>-226</v>
      </c>
      <c r="G65" s="615">
        <v>0</v>
      </c>
      <c r="H65" s="601">
        <f t="shared" si="1"/>
        <v>-21525</v>
      </c>
      <c r="I65" s="575">
        <f>-21299-289</f>
        <v>-21588</v>
      </c>
      <c r="J65" s="612">
        <v>0</v>
      </c>
      <c r="K65" s="602">
        <f t="shared" si="0"/>
        <v>-21588</v>
      </c>
      <c r="M65" s="969"/>
      <c r="N65" s="2272"/>
      <c r="O65" s="2267"/>
      <c r="P65" s="2267"/>
      <c r="Q65" s="2267"/>
      <c r="R65" s="2267"/>
      <c r="S65" s="2267"/>
      <c r="T65" s="2267"/>
      <c r="U65" s="2267"/>
      <c r="V65" s="2267"/>
      <c r="W65" s="2267"/>
      <c r="X65" s="2267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9" customFormat="1" ht="22.35" customHeight="1" x14ac:dyDescent="0.3">
      <c r="A66" s="2198" t="s">
        <v>127</v>
      </c>
      <c r="B66" s="2199"/>
      <c r="C66" s="2199"/>
      <c r="D66" s="35">
        <v>1430</v>
      </c>
      <c r="E66" s="566">
        <v>0</v>
      </c>
      <c r="F66" s="612">
        <v>0</v>
      </c>
      <c r="G66" s="612">
        <v>0</v>
      </c>
      <c r="H66" s="601">
        <f t="shared" si="1"/>
        <v>0</v>
      </c>
      <c r="I66" s="566">
        <v>0</v>
      </c>
      <c r="J66" s="612">
        <v>0</v>
      </c>
      <c r="K66" s="602">
        <f t="shared" si="0"/>
        <v>0</v>
      </c>
      <c r="L66" s="969"/>
      <c r="M66" s="969"/>
      <c r="N66" s="2272"/>
      <c r="O66" s="2267"/>
      <c r="P66" s="2267"/>
      <c r="Q66" s="2267"/>
      <c r="R66" s="2267"/>
      <c r="S66" s="2267"/>
      <c r="T66" s="2267"/>
      <c r="U66" s="2267"/>
      <c r="V66" s="2267"/>
      <c r="W66" s="2267"/>
      <c r="X66" s="2267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s="9" customFormat="1" ht="22.35" customHeight="1" thickBot="1" x14ac:dyDescent="0.4">
      <c r="A67" s="2265" t="s">
        <v>128</v>
      </c>
      <c r="B67" s="2266"/>
      <c r="C67" s="2266"/>
      <c r="D67" s="191">
        <v>1495</v>
      </c>
      <c r="E67" s="604">
        <f t="shared" ref="E67:K67" si="9">SUM(E58,E59,E60,E63,E64,E65,E66)</f>
        <v>42987.4</v>
      </c>
      <c r="F67" s="604">
        <f t="shared" si="9"/>
        <v>0</v>
      </c>
      <c r="G67" s="604">
        <f>SUM(G58,G59,G60,G63,G64,G65,G66)</f>
        <v>9919.4</v>
      </c>
      <c r="H67" s="604">
        <f>SUM(H58,H59,H60,H63,H64,H65,H66)</f>
        <v>52906.8</v>
      </c>
      <c r="I67" s="604">
        <f t="shared" si="9"/>
        <v>57300</v>
      </c>
      <c r="J67" s="604">
        <f t="shared" si="9"/>
        <v>0</v>
      </c>
      <c r="K67" s="1403">
        <f t="shared" si="9"/>
        <v>57300</v>
      </c>
      <c r="L67" s="969"/>
      <c r="M67" s="969"/>
      <c r="N67" s="2272"/>
      <c r="O67" s="997"/>
      <c r="P67" s="997"/>
      <c r="Q67" s="997"/>
      <c r="R67" s="997"/>
      <c r="S67" s="997"/>
      <c r="T67" s="997"/>
      <c r="U67" s="997"/>
      <c r="V67" s="997"/>
      <c r="W67" s="997"/>
      <c r="X67" s="997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s="9" customFormat="1" ht="26.25" customHeight="1" x14ac:dyDescent="0.35">
      <c r="A68" s="2268" t="s">
        <v>271</v>
      </c>
      <c r="B68" s="2269"/>
      <c r="C68" s="2269"/>
      <c r="D68" s="1382">
        <v>1499</v>
      </c>
      <c r="E68" s="576"/>
      <c r="F68" s="577"/>
      <c r="G68" s="577"/>
      <c r="H68" s="1016">
        <f t="shared" si="1"/>
        <v>0</v>
      </c>
      <c r="I68" s="576"/>
      <c r="J68" s="577"/>
      <c r="K68" s="1017">
        <f t="shared" si="0"/>
        <v>0</v>
      </c>
      <c r="L68" s="969"/>
      <c r="M68" s="969"/>
      <c r="N68" s="877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s="9" customFormat="1" ht="22.35" customHeight="1" x14ac:dyDescent="0.3">
      <c r="A69" s="2198" t="s">
        <v>129</v>
      </c>
      <c r="B69" s="2199"/>
      <c r="C69" s="2199"/>
      <c r="D69" s="35">
        <v>1500</v>
      </c>
      <c r="E69" s="566">
        <v>0</v>
      </c>
      <c r="F69" s="612">
        <v>0</v>
      </c>
      <c r="G69" s="612">
        <v>0</v>
      </c>
      <c r="H69" s="601">
        <f t="shared" si="1"/>
        <v>0</v>
      </c>
      <c r="I69" s="566">
        <v>0</v>
      </c>
      <c r="J69" s="612">
        <v>0</v>
      </c>
      <c r="K69" s="602">
        <f t="shared" si="0"/>
        <v>0</v>
      </c>
      <c r="L69" s="969"/>
      <c r="M69" s="969"/>
      <c r="N69" s="877" t="s">
        <v>573</v>
      </c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s="9" customFormat="1" ht="21.75" customHeight="1" x14ac:dyDescent="0.3">
      <c r="A70" s="2198" t="s">
        <v>130</v>
      </c>
      <c r="B70" s="2199"/>
      <c r="C70" s="2199"/>
      <c r="D70" s="35">
        <v>1510</v>
      </c>
      <c r="E70" s="566">
        <v>0</v>
      </c>
      <c r="F70" s="612">
        <v>0</v>
      </c>
      <c r="G70" s="612">
        <v>0</v>
      </c>
      <c r="H70" s="601">
        <f t="shared" si="1"/>
        <v>0</v>
      </c>
      <c r="I70" s="566">
        <v>0</v>
      </c>
      <c r="J70" s="612">
        <v>0</v>
      </c>
      <c r="K70" s="602">
        <f t="shared" si="0"/>
        <v>0</v>
      </c>
      <c r="L70" s="973"/>
      <c r="M70" s="973"/>
      <c r="N70" s="877" t="s">
        <v>576</v>
      </c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9" customFormat="1" ht="22.35" customHeight="1" x14ac:dyDescent="0.3">
      <c r="A71" s="2198" t="s">
        <v>131</v>
      </c>
      <c r="B71" s="2199"/>
      <c r="C71" s="2199"/>
      <c r="D71" s="35">
        <v>1515</v>
      </c>
      <c r="E71" s="566">
        <v>0</v>
      </c>
      <c r="F71" s="612">
        <v>0</v>
      </c>
      <c r="G71" s="612">
        <v>0</v>
      </c>
      <c r="H71" s="601">
        <f t="shared" si="1"/>
        <v>0</v>
      </c>
      <c r="I71" s="566">
        <v>0</v>
      </c>
      <c r="J71" s="612">
        <v>0</v>
      </c>
      <c r="K71" s="602">
        <f t="shared" si="0"/>
        <v>0</v>
      </c>
      <c r="L71" s="2213"/>
      <c r="M71" s="2213"/>
      <c r="N71" s="877" t="s">
        <v>579</v>
      </c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s="9" customFormat="1" ht="22.35" customHeight="1" x14ac:dyDescent="0.3">
      <c r="A72" s="2198" t="s">
        <v>132</v>
      </c>
      <c r="B72" s="2199"/>
      <c r="C72" s="2199"/>
      <c r="D72" s="35">
        <v>1520</v>
      </c>
      <c r="E72" s="612"/>
      <c r="F72" s="612">
        <v>0</v>
      </c>
      <c r="G72" s="612">
        <v>0</v>
      </c>
      <c r="H72" s="601">
        <f t="shared" si="1"/>
        <v>0</v>
      </c>
      <c r="I72" s="566">
        <v>0</v>
      </c>
      <c r="J72" s="612">
        <v>0</v>
      </c>
      <c r="K72" s="602">
        <f t="shared" si="0"/>
        <v>0</v>
      </c>
      <c r="L72" s="2213"/>
      <c r="M72" s="2213"/>
      <c r="N72" s="877" t="s">
        <v>582</v>
      </c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s="9" customFormat="1" ht="22.35" customHeight="1" x14ac:dyDescent="0.35">
      <c r="A73" s="2270" t="s">
        <v>694</v>
      </c>
      <c r="B73" s="2271"/>
      <c r="C73" s="2271"/>
      <c r="D73" s="35">
        <v>1525</v>
      </c>
      <c r="E73" s="1574">
        <v>27137.3</v>
      </c>
      <c r="F73" s="612">
        <v>0</v>
      </c>
      <c r="G73" s="612"/>
      <c r="H73" s="601">
        <f>ROUND((E73+F73+G73),1)</f>
        <v>27137.3</v>
      </c>
      <c r="I73" s="566">
        <v>30287.4</v>
      </c>
      <c r="J73" s="612">
        <v>0</v>
      </c>
      <c r="K73" s="602">
        <f>ROUND((I73+J73),1)</f>
        <v>30287.4</v>
      </c>
      <c r="L73" s="2213"/>
      <c r="M73" s="2213"/>
      <c r="N73" s="400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s="9" customFormat="1" ht="35.25" customHeight="1" x14ac:dyDescent="0.3">
      <c r="A74" s="2209" t="s">
        <v>1980</v>
      </c>
      <c r="B74" s="2210"/>
      <c r="C74" s="2211"/>
      <c r="D74" s="35" t="s">
        <v>765</v>
      </c>
      <c r="E74" s="612">
        <v>27030.7</v>
      </c>
      <c r="F74" s="1574">
        <v>0</v>
      </c>
      <c r="G74" s="1574">
        <f>G75+G76</f>
        <v>0</v>
      </c>
      <c r="H74" s="1574">
        <f>H75+H76</f>
        <v>27030.7</v>
      </c>
      <c r="I74" s="1574">
        <v>29201.4</v>
      </c>
      <c r="J74" s="1574">
        <f>J75+J76</f>
        <v>0</v>
      </c>
      <c r="K74" s="1630">
        <f>K75+K76</f>
        <v>29201.4</v>
      </c>
      <c r="L74" s="973"/>
      <c r="M74" s="969"/>
      <c r="N74" s="400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s="9" customFormat="1" ht="35.25" customHeight="1" x14ac:dyDescent="0.3">
      <c r="A75" s="2221" t="s">
        <v>2017</v>
      </c>
      <c r="B75" s="2222"/>
      <c r="C75" s="2223"/>
      <c r="D75" s="1573" t="s">
        <v>2015</v>
      </c>
      <c r="E75" s="1574">
        <v>27030.7</v>
      </c>
      <c r="F75" s="612">
        <v>0</v>
      </c>
      <c r="G75" s="612"/>
      <c r="H75" s="601">
        <f>ROUND((E75+F75+G75),1)</f>
        <v>27030.7</v>
      </c>
      <c r="I75" s="566">
        <v>29201.4</v>
      </c>
      <c r="J75" s="612">
        <v>0</v>
      </c>
      <c r="K75" s="602">
        <f>ROUND((I75+J75),1)</f>
        <v>29201.4</v>
      </c>
      <c r="L75" s="973"/>
      <c r="M75" s="969"/>
      <c r="N75" s="400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s="9" customFormat="1" ht="20.25" customHeight="1" x14ac:dyDescent="0.3">
      <c r="A76" s="2221" t="s">
        <v>2018</v>
      </c>
      <c r="B76" s="2222"/>
      <c r="C76" s="2223"/>
      <c r="D76" s="1380" t="s">
        <v>2016</v>
      </c>
      <c r="E76" s="612"/>
      <c r="F76" s="1574">
        <f>'Звіт Пацієнт '!G53</f>
        <v>0</v>
      </c>
      <c r="G76" s="1574">
        <f>'Звіт Пацієнт '!H53</f>
        <v>0</v>
      </c>
      <c r="H76" s="601">
        <f>ROUND((E76+F76+G76),1)</f>
        <v>0</v>
      </c>
      <c r="I76" s="1574">
        <f>'Звіт Пацієнт '!J53</f>
        <v>0</v>
      </c>
      <c r="J76" s="1574">
        <f>'Звіт Пацієнт '!K53</f>
        <v>0</v>
      </c>
      <c r="K76" s="602">
        <f>ROUND((I76+J76),1)</f>
        <v>0</v>
      </c>
      <c r="L76" s="973"/>
      <c r="M76" s="969"/>
      <c r="N76" s="400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s="9" customFormat="1" ht="40.35" customHeight="1" x14ac:dyDescent="0.3">
      <c r="A77" s="2209" t="s">
        <v>1931</v>
      </c>
      <c r="B77" s="2210"/>
      <c r="C77" s="2211"/>
      <c r="D77" s="35" t="s">
        <v>766</v>
      </c>
      <c r="E77" s="1812">
        <v>106.6</v>
      </c>
      <c r="F77" s="612">
        <v>0</v>
      </c>
      <c r="G77" s="612"/>
      <c r="H77" s="601">
        <f>ROUND((E77+F77+G77),1)</f>
        <v>106.6</v>
      </c>
      <c r="I77" s="566">
        <v>191.9</v>
      </c>
      <c r="J77" s="612">
        <v>0</v>
      </c>
      <c r="K77" s="602">
        <f t="shared" si="0"/>
        <v>191.9</v>
      </c>
      <c r="L77" s="2213"/>
      <c r="M77" s="2213"/>
      <c r="N77" s="400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36" s="9" customFormat="1" ht="22.5" customHeight="1" x14ac:dyDescent="0.3">
      <c r="A78" s="2233" t="s">
        <v>698</v>
      </c>
      <c r="B78" s="2234"/>
      <c r="C78" s="2235"/>
      <c r="D78" s="965" t="s">
        <v>767</v>
      </c>
      <c r="E78" s="603">
        <f t="shared" ref="E78:K78" si="10">ROUND((E73-E74-E77),1)</f>
        <v>0</v>
      </c>
      <c r="F78" s="603">
        <f t="shared" si="10"/>
        <v>0</v>
      </c>
      <c r="G78" s="603">
        <f t="shared" si="10"/>
        <v>0</v>
      </c>
      <c r="H78" s="603">
        <f t="shared" si="10"/>
        <v>0</v>
      </c>
      <c r="I78" s="603">
        <f t="shared" si="10"/>
        <v>894.1</v>
      </c>
      <c r="J78" s="603">
        <f t="shared" si="10"/>
        <v>0</v>
      </c>
      <c r="K78" s="603">
        <f t="shared" si="10"/>
        <v>894.1</v>
      </c>
      <c r="L78" s="1255"/>
      <c r="M78" s="1255"/>
      <c r="N78" s="400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</row>
    <row r="79" spans="1:36" s="9" customFormat="1" ht="27" customHeight="1" thickBot="1" x14ac:dyDescent="0.4">
      <c r="A79" s="2226" t="s">
        <v>133</v>
      </c>
      <c r="B79" s="2227"/>
      <c r="C79" s="2228"/>
      <c r="D79" s="970">
        <v>1595</v>
      </c>
      <c r="E79" s="971">
        <f t="shared" ref="E79:K79" si="11">SUM(E69,E70,E71,E72,E73)</f>
        <v>27137.3</v>
      </c>
      <c r="F79" s="972">
        <f t="shared" si="11"/>
        <v>0</v>
      </c>
      <c r="G79" s="972">
        <f t="shared" si="11"/>
        <v>0</v>
      </c>
      <c r="H79" s="972">
        <f t="shared" si="11"/>
        <v>27137.3</v>
      </c>
      <c r="I79" s="971">
        <f t="shared" si="11"/>
        <v>30287.4</v>
      </c>
      <c r="J79" s="972">
        <f t="shared" si="11"/>
        <v>0</v>
      </c>
      <c r="K79" s="1404">
        <f t="shared" si="11"/>
        <v>30287.4</v>
      </c>
      <c r="L79" s="973"/>
      <c r="M79" s="502"/>
      <c r="N79" s="400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</row>
    <row r="80" spans="1:36" s="9" customFormat="1" ht="27" customHeight="1" x14ac:dyDescent="0.35">
      <c r="A80" s="2224" t="s">
        <v>272</v>
      </c>
      <c r="B80" s="2225"/>
      <c r="C80" s="2225"/>
      <c r="D80" s="1399">
        <v>1599</v>
      </c>
      <c r="E80" s="1018"/>
      <c r="F80" s="1019"/>
      <c r="G80" s="1019"/>
      <c r="H80" s="1012">
        <f t="shared" si="1"/>
        <v>0</v>
      </c>
      <c r="I80" s="1018"/>
      <c r="J80" s="1019"/>
      <c r="K80" s="1013">
        <f t="shared" si="0"/>
        <v>0</v>
      </c>
      <c r="L80" s="502"/>
      <c r="M80" s="502"/>
      <c r="N80" s="400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</row>
    <row r="81" spans="1:36" s="9" customFormat="1" ht="22.35" customHeight="1" x14ac:dyDescent="0.4">
      <c r="A81" s="2198" t="s">
        <v>134</v>
      </c>
      <c r="B81" s="2199"/>
      <c r="C81" s="2199"/>
      <c r="D81" s="952">
        <v>1600</v>
      </c>
      <c r="E81" s="566">
        <v>0</v>
      </c>
      <c r="F81" s="612">
        <v>0</v>
      </c>
      <c r="G81" s="612">
        <v>0</v>
      </c>
      <c r="H81" s="601">
        <f t="shared" si="1"/>
        <v>0</v>
      </c>
      <c r="I81" s="566">
        <v>0</v>
      </c>
      <c r="J81" s="612">
        <v>0</v>
      </c>
      <c r="K81" s="602">
        <f t="shared" si="0"/>
        <v>0</v>
      </c>
      <c r="L81" s="498"/>
      <c r="M81" s="498"/>
      <c r="N81" s="400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</row>
    <row r="82" spans="1:36" s="9" customFormat="1" ht="22.35" customHeight="1" x14ac:dyDescent="0.4">
      <c r="A82" s="2198" t="s">
        <v>273</v>
      </c>
      <c r="B82" s="2199"/>
      <c r="C82" s="2199"/>
      <c r="D82" s="1406">
        <v>1609</v>
      </c>
      <c r="E82" s="578" t="s">
        <v>319</v>
      </c>
      <c r="F82" s="617" t="s">
        <v>319</v>
      </c>
      <c r="G82" s="617" t="s">
        <v>319</v>
      </c>
      <c r="H82" s="601"/>
      <c r="I82" s="578" t="s">
        <v>319</v>
      </c>
      <c r="J82" s="617" t="s">
        <v>319</v>
      </c>
      <c r="K82" s="602"/>
      <c r="L82" s="498"/>
      <c r="M82" s="498"/>
      <c r="N82" s="400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</row>
    <row r="83" spans="1:36" s="9" customFormat="1" ht="22.35" customHeight="1" x14ac:dyDescent="0.4">
      <c r="A83" s="2198" t="s">
        <v>135</v>
      </c>
      <c r="B83" s="2199"/>
      <c r="C83" s="2199"/>
      <c r="D83" s="952">
        <v>1610</v>
      </c>
      <c r="E83" s="566">
        <v>330.5</v>
      </c>
      <c r="F83" s="612">
        <v>0</v>
      </c>
      <c r="G83" s="612">
        <v>0</v>
      </c>
      <c r="H83" s="601">
        <f t="shared" si="1"/>
        <v>330.5</v>
      </c>
      <c r="I83" s="566">
        <v>0</v>
      </c>
      <c r="J83" s="612">
        <v>0</v>
      </c>
      <c r="K83" s="602">
        <f t="shared" si="0"/>
        <v>0</v>
      </c>
      <c r="L83" s="498"/>
      <c r="M83" s="498"/>
      <c r="N83" s="400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</row>
    <row r="84" spans="1:36" s="9" customFormat="1" ht="22.35" customHeight="1" x14ac:dyDescent="0.4">
      <c r="A84" s="2198" t="s">
        <v>141</v>
      </c>
      <c r="B84" s="2199"/>
      <c r="C84" s="2199"/>
      <c r="D84" s="952">
        <v>1615</v>
      </c>
      <c r="E84" s="566">
        <v>707.6</v>
      </c>
      <c r="F84" s="612">
        <v>0</v>
      </c>
      <c r="G84" s="612">
        <v>0</v>
      </c>
      <c r="H84" s="601">
        <f t="shared" si="1"/>
        <v>707.6</v>
      </c>
      <c r="I84" s="566">
        <v>0</v>
      </c>
      <c r="J84" s="612">
        <v>0</v>
      </c>
      <c r="K84" s="602">
        <f t="shared" si="0"/>
        <v>0</v>
      </c>
      <c r="L84" s="498"/>
      <c r="M84" s="498"/>
      <c r="N84" s="400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</row>
    <row r="85" spans="1:36" s="9" customFormat="1" ht="22.35" customHeight="1" x14ac:dyDescent="0.4">
      <c r="A85" s="2198" t="s">
        <v>136</v>
      </c>
      <c r="B85" s="2199"/>
      <c r="C85" s="2199"/>
      <c r="D85" s="952">
        <v>1620</v>
      </c>
      <c r="E85" s="566">
        <v>34.9</v>
      </c>
      <c r="F85" s="612">
        <v>0</v>
      </c>
      <c r="G85" s="612">
        <v>0</v>
      </c>
      <c r="H85" s="601">
        <f t="shared" ref="H85:H102" si="12">ROUND((E85+F85+G85),1)</f>
        <v>34.9</v>
      </c>
      <c r="I85" s="566">
        <v>875.9</v>
      </c>
      <c r="J85" s="612">
        <v>0</v>
      </c>
      <c r="K85" s="602">
        <f t="shared" ref="K85:K102" si="13">ROUND((I85+J85),1)</f>
        <v>875.9</v>
      </c>
      <c r="L85" s="498"/>
      <c r="M85" s="498"/>
      <c r="N85" s="400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</row>
    <row r="86" spans="1:36" s="9" customFormat="1" ht="22.35" customHeight="1" x14ac:dyDescent="0.4">
      <c r="A86" s="2244" t="s">
        <v>113</v>
      </c>
      <c r="B86" s="2245"/>
      <c r="C86" s="2245"/>
      <c r="D86" s="35">
        <v>1621</v>
      </c>
      <c r="E86" s="566">
        <v>0</v>
      </c>
      <c r="F86" s="612">
        <v>0</v>
      </c>
      <c r="G86" s="612">
        <v>0</v>
      </c>
      <c r="H86" s="601">
        <f t="shared" si="12"/>
        <v>0</v>
      </c>
      <c r="I86" s="566">
        <v>0</v>
      </c>
      <c r="J86" s="612">
        <v>0</v>
      </c>
      <c r="K86" s="602">
        <f t="shared" si="13"/>
        <v>0</v>
      </c>
      <c r="L86" s="498"/>
      <c r="M86" s="498"/>
      <c r="N86" s="400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</row>
    <row r="87" spans="1:36" s="9" customFormat="1" ht="22.35" customHeight="1" x14ac:dyDescent="0.4">
      <c r="A87" s="2198" t="s">
        <v>137</v>
      </c>
      <c r="B87" s="2199"/>
      <c r="C87" s="2199"/>
      <c r="D87" s="952">
        <v>1625</v>
      </c>
      <c r="E87" s="566">
        <v>0</v>
      </c>
      <c r="F87" s="612">
        <v>0</v>
      </c>
      <c r="G87" s="612">
        <v>0</v>
      </c>
      <c r="H87" s="601">
        <f t="shared" si="12"/>
        <v>0</v>
      </c>
      <c r="I87" s="566">
        <v>863.7</v>
      </c>
      <c r="J87" s="612">
        <v>0</v>
      </c>
      <c r="K87" s="602">
        <f t="shared" si="13"/>
        <v>863.7</v>
      </c>
      <c r="L87" s="498"/>
      <c r="M87" s="498"/>
      <c r="N87" s="400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</row>
    <row r="88" spans="1:36" s="9" customFormat="1" ht="22.35" customHeight="1" x14ac:dyDescent="0.4">
      <c r="A88" s="2207" t="s">
        <v>144</v>
      </c>
      <c r="B88" s="2208"/>
      <c r="C88" s="2208"/>
      <c r="D88" s="952">
        <v>1630</v>
      </c>
      <c r="E88" s="566">
        <v>178.9</v>
      </c>
      <c r="F88" s="612">
        <v>0</v>
      </c>
      <c r="G88" s="612">
        <v>0</v>
      </c>
      <c r="H88" s="601">
        <f t="shared" si="12"/>
        <v>178.9</v>
      </c>
      <c r="I88" s="566">
        <v>3300.6</v>
      </c>
      <c r="J88" s="612">
        <v>0</v>
      </c>
      <c r="K88" s="602">
        <f t="shared" si="13"/>
        <v>3300.6</v>
      </c>
      <c r="L88" s="498"/>
      <c r="M88" s="498"/>
      <c r="N88" s="400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</row>
    <row r="89" spans="1:36" s="9" customFormat="1" ht="22.35" customHeight="1" x14ac:dyDescent="0.4">
      <c r="A89" s="2219" t="s">
        <v>211</v>
      </c>
      <c r="B89" s="2220"/>
      <c r="C89" s="2220"/>
      <c r="D89" s="1412" t="s">
        <v>768</v>
      </c>
      <c r="E89" s="566">
        <v>0</v>
      </c>
      <c r="F89" s="612">
        <v>0</v>
      </c>
      <c r="G89" s="612">
        <v>0</v>
      </c>
      <c r="H89" s="601">
        <f t="shared" si="12"/>
        <v>0</v>
      </c>
      <c r="I89" s="566">
        <v>0</v>
      </c>
      <c r="J89" s="612">
        <v>0</v>
      </c>
      <c r="K89" s="602">
        <f t="shared" si="13"/>
        <v>0</v>
      </c>
      <c r="L89" s="498"/>
      <c r="M89" s="498"/>
      <c r="N89" s="400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</row>
    <row r="90" spans="1:36" s="9" customFormat="1" ht="22.35" customHeight="1" x14ac:dyDescent="0.4">
      <c r="A90" s="2219" t="s">
        <v>142</v>
      </c>
      <c r="B90" s="2220"/>
      <c r="C90" s="2220"/>
      <c r="D90" s="117" t="s">
        <v>769</v>
      </c>
      <c r="E90" s="566">
        <v>0</v>
      </c>
      <c r="F90" s="612">
        <v>0</v>
      </c>
      <c r="G90" s="612">
        <v>0</v>
      </c>
      <c r="H90" s="601">
        <f t="shared" si="12"/>
        <v>0</v>
      </c>
      <c r="I90" s="566">
        <v>0</v>
      </c>
      <c r="J90" s="612">
        <v>0</v>
      </c>
      <c r="K90" s="602">
        <f t="shared" si="13"/>
        <v>0</v>
      </c>
      <c r="L90" s="498"/>
      <c r="M90" s="498"/>
      <c r="N90" s="400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</row>
    <row r="91" spans="1:36" s="9" customFormat="1" ht="22.35" customHeight="1" x14ac:dyDescent="0.4">
      <c r="A91" s="2219" t="s">
        <v>143</v>
      </c>
      <c r="B91" s="2220"/>
      <c r="C91" s="2220"/>
      <c r="D91" s="117" t="s">
        <v>770</v>
      </c>
      <c r="E91" s="566">
        <v>178.9</v>
      </c>
      <c r="F91" s="612">
        <v>0</v>
      </c>
      <c r="G91" s="612">
        <v>0</v>
      </c>
      <c r="H91" s="601">
        <f>ROUND((E91+F91+G91),1)</f>
        <v>178.9</v>
      </c>
      <c r="I91" s="566">
        <v>3300.6</v>
      </c>
      <c r="J91" s="612">
        <v>0</v>
      </c>
      <c r="K91" s="602">
        <f t="shared" si="13"/>
        <v>3300.6</v>
      </c>
      <c r="L91" s="498"/>
      <c r="M91" s="498"/>
      <c r="N91" s="878"/>
      <c r="O91" s="292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</row>
    <row r="92" spans="1:36" s="9" customFormat="1" ht="43.5" customHeight="1" x14ac:dyDescent="0.4">
      <c r="A92" s="2241" t="s">
        <v>2022</v>
      </c>
      <c r="B92" s="2242"/>
      <c r="C92" s="2243"/>
      <c r="D92" s="952">
        <v>1635</v>
      </c>
      <c r="E92" s="566">
        <v>0</v>
      </c>
      <c r="F92" s="612">
        <v>0</v>
      </c>
      <c r="G92" s="612">
        <v>0</v>
      </c>
      <c r="H92" s="601">
        <f t="shared" si="12"/>
        <v>0</v>
      </c>
      <c r="I92" s="566">
        <v>0</v>
      </c>
      <c r="J92" s="612">
        <v>0</v>
      </c>
      <c r="K92" s="602">
        <f>ROUND((I92+J92),1)</f>
        <v>0</v>
      </c>
      <c r="L92" s="498"/>
      <c r="M92" s="498"/>
      <c r="N92" s="400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</row>
    <row r="93" spans="1:36" s="9" customFormat="1" ht="21.75" customHeight="1" x14ac:dyDescent="0.3">
      <c r="A93" s="2254" t="s">
        <v>1909</v>
      </c>
      <c r="B93" s="2255"/>
      <c r="C93" s="2255"/>
      <c r="D93" s="117" t="s">
        <v>771</v>
      </c>
      <c r="E93" s="566">
        <v>0</v>
      </c>
      <c r="F93" s="612">
        <v>0</v>
      </c>
      <c r="G93" s="612">
        <v>0</v>
      </c>
      <c r="H93" s="601">
        <f t="shared" si="12"/>
        <v>0</v>
      </c>
      <c r="I93" s="566">
        <v>0</v>
      </c>
      <c r="J93" s="612">
        <v>0</v>
      </c>
      <c r="K93" s="602">
        <f t="shared" si="13"/>
        <v>0</v>
      </c>
      <c r="N93" s="29"/>
      <c r="O93" s="29"/>
      <c r="P93" s="998"/>
      <c r="Q93" s="1003"/>
      <c r="R93" s="1004"/>
      <c r="S93" s="968"/>
      <c r="T93" s="1003"/>
      <c r="U93" s="1004"/>
      <c r="V93" s="968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1:36" s="9" customFormat="1" ht="40.5" customHeight="1" x14ac:dyDescent="0.3">
      <c r="A94" s="2209" t="s">
        <v>2024</v>
      </c>
      <c r="B94" s="2210"/>
      <c r="C94" s="2211"/>
      <c r="D94" s="117" t="s">
        <v>1387</v>
      </c>
      <c r="E94" s="566">
        <v>0</v>
      </c>
      <c r="F94" s="612">
        <v>0</v>
      </c>
      <c r="G94" s="612">
        <v>0</v>
      </c>
      <c r="H94" s="601">
        <f t="shared" si="12"/>
        <v>0</v>
      </c>
      <c r="I94" s="566">
        <v>0</v>
      </c>
      <c r="J94" s="612">
        <v>0</v>
      </c>
      <c r="K94" s="602">
        <f t="shared" si="13"/>
        <v>0</v>
      </c>
      <c r="L94" s="1002"/>
      <c r="M94" s="1002"/>
      <c r="N94" s="1002"/>
      <c r="O94" s="1002"/>
      <c r="P94" s="998"/>
      <c r="Q94" s="1003"/>
      <c r="R94" s="1004"/>
      <c r="S94" s="968"/>
      <c r="T94" s="1003"/>
      <c r="U94" s="1004"/>
      <c r="V94" s="968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</row>
    <row r="95" spans="1:36" s="9" customFormat="1" ht="40.5" customHeight="1" x14ac:dyDescent="0.3">
      <c r="A95" s="2209" t="s">
        <v>2023</v>
      </c>
      <c r="B95" s="2210"/>
      <c r="C95" s="2211"/>
      <c r="D95" s="117" t="s">
        <v>1798</v>
      </c>
      <c r="E95" s="566">
        <v>0</v>
      </c>
      <c r="F95" s="612">
        <v>0</v>
      </c>
      <c r="G95" s="612">
        <v>0</v>
      </c>
      <c r="H95" s="601">
        <f>ROUND((E95+F95+G95),1)</f>
        <v>0</v>
      </c>
      <c r="I95" s="566">
        <v>0</v>
      </c>
      <c r="J95" s="612">
        <v>0</v>
      </c>
      <c r="K95" s="602">
        <f>ROUND((I95+J95),1)</f>
        <v>0</v>
      </c>
      <c r="L95" s="1002"/>
      <c r="M95" s="1002"/>
      <c r="N95" s="1002"/>
      <c r="O95" s="1002"/>
      <c r="P95" s="998"/>
      <c r="Q95" s="1003"/>
      <c r="R95" s="1004"/>
      <c r="S95" s="968"/>
      <c r="T95" s="1003"/>
      <c r="U95" s="1004"/>
      <c r="V95" s="968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</row>
    <row r="96" spans="1:36" s="9" customFormat="1" ht="22.35" customHeight="1" x14ac:dyDescent="0.4">
      <c r="A96" s="2207" t="s">
        <v>138</v>
      </c>
      <c r="B96" s="2208"/>
      <c r="C96" s="2208"/>
      <c r="D96" s="952">
        <v>1660</v>
      </c>
      <c r="E96" s="566">
        <v>0</v>
      </c>
      <c r="F96" s="612">
        <v>0</v>
      </c>
      <c r="G96" s="612">
        <v>0</v>
      </c>
      <c r="H96" s="601">
        <f t="shared" si="12"/>
        <v>0</v>
      </c>
      <c r="I96" s="566">
        <v>0</v>
      </c>
      <c r="J96" s="612">
        <v>0</v>
      </c>
      <c r="K96" s="602">
        <f t="shared" si="13"/>
        <v>0</v>
      </c>
      <c r="L96" s="498"/>
      <c r="M96" s="498"/>
      <c r="N96" s="400" t="s">
        <v>640</v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</row>
    <row r="97" spans="1:36" s="9" customFormat="1" ht="24.75" customHeight="1" x14ac:dyDescent="0.4">
      <c r="A97" s="2246" t="s">
        <v>696</v>
      </c>
      <c r="B97" s="2247"/>
      <c r="C97" s="2247"/>
      <c r="D97" s="117">
        <v>1665</v>
      </c>
      <c r="E97" s="566">
        <v>244.9</v>
      </c>
      <c r="F97" s="612">
        <v>0</v>
      </c>
      <c r="G97" s="612">
        <v>0</v>
      </c>
      <c r="H97" s="601">
        <f t="shared" si="12"/>
        <v>244.9</v>
      </c>
      <c r="I97" s="566">
        <f>1594.9+119.7</f>
        <v>1714.6</v>
      </c>
      <c r="J97" s="612">
        <v>0</v>
      </c>
      <c r="K97" s="602">
        <f t="shared" si="13"/>
        <v>1714.6</v>
      </c>
      <c r="L97" s="498"/>
      <c r="M97" s="498"/>
      <c r="N97" s="400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</row>
    <row r="98" spans="1:36" s="9" customFormat="1" ht="38.25" customHeight="1" x14ac:dyDescent="0.4">
      <c r="A98" s="2209" t="s">
        <v>695</v>
      </c>
      <c r="B98" s="2210"/>
      <c r="C98" s="2211"/>
      <c r="D98" s="117" t="s">
        <v>772</v>
      </c>
      <c r="E98" s="566">
        <v>244.9</v>
      </c>
      <c r="F98" s="612"/>
      <c r="G98" s="612">
        <v>0</v>
      </c>
      <c r="H98" s="601">
        <f t="shared" si="12"/>
        <v>244.9</v>
      </c>
      <c r="I98" s="566">
        <f>1594.9+119.7</f>
        <v>1714.6</v>
      </c>
      <c r="J98" s="612">
        <v>0</v>
      </c>
      <c r="K98" s="602">
        <f t="shared" si="13"/>
        <v>1714.6</v>
      </c>
      <c r="L98" s="498"/>
      <c r="M98" s="498"/>
      <c r="N98" s="400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</row>
    <row r="99" spans="1:36" s="9" customFormat="1" x14ac:dyDescent="0.3">
      <c r="A99" s="2233" t="s">
        <v>697</v>
      </c>
      <c r="B99" s="2234"/>
      <c r="C99" s="2235"/>
      <c r="D99" s="952" t="s">
        <v>773</v>
      </c>
      <c r="E99" s="603">
        <f t="shared" ref="E99:J99" si="14">ROUND((E97-E98),1)</f>
        <v>0</v>
      </c>
      <c r="F99" s="616">
        <f t="shared" si="14"/>
        <v>0</v>
      </c>
      <c r="G99" s="616">
        <f>ROUND((G97-G98),1)</f>
        <v>0</v>
      </c>
      <c r="H99" s="601">
        <f t="shared" si="12"/>
        <v>0</v>
      </c>
      <c r="I99" s="603">
        <f t="shared" si="14"/>
        <v>0</v>
      </c>
      <c r="J99" s="616">
        <f t="shared" si="14"/>
        <v>0</v>
      </c>
      <c r="K99" s="602">
        <f t="shared" si="13"/>
        <v>0</v>
      </c>
      <c r="L99" s="503">
        <v>8</v>
      </c>
      <c r="M99" s="503"/>
      <c r="N99" s="400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</row>
    <row r="100" spans="1:36" s="9" customFormat="1" ht="24" customHeight="1" x14ac:dyDescent="0.4">
      <c r="A100" s="2207" t="s">
        <v>139</v>
      </c>
      <c r="B100" s="2208"/>
      <c r="C100" s="2208"/>
      <c r="D100" s="952">
        <v>1690</v>
      </c>
      <c r="E100" s="575">
        <v>0</v>
      </c>
      <c r="F100" s="615">
        <v>0</v>
      </c>
      <c r="G100" s="615">
        <v>0</v>
      </c>
      <c r="H100" s="601">
        <f t="shared" si="12"/>
        <v>0</v>
      </c>
      <c r="I100" s="575">
        <v>0</v>
      </c>
      <c r="J100" s="615">
        <v>0</v>
      </c>
      <c r="K100" s="602">
        <f t="shared" si="13"/>
        <v>0</v>
      </c>
      <c r="L100" s="498"/>
      <c r="M100" s="498"/>
      <c r="N100" s="877" t="s">
        <v>639</v>
      </c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</row>
    <row r="101" spans="1:36" s="9" customFormat="1" ht="22.35" customHeight="1" thickBot="1" x14ac:dyDescent="0.4">
      <c r="A101" s="2256" t="s">
        <v>140</v>
      </c>
      <c r="B101" s="2257"/>
      <c r="C101" s="2257"/>
      <c r="D101" s="192">
        <v>1695</v>
      </c>
      <c r="E101" s="605">
        <f t="shared" ref="E101:K101" si="15">SUM(E81,E83,E84,E85,E87,E88,E96,E97,E100,E92)</f>
        <v>1496.8</v>
      </c>
      <c r="F101" s="606">
        <f t="shared" si="15"/>
        <v>0</v>
      </c>
      <c r="G101" s="606">
        <f>SUM(G81,G83,G84,G85,G87,G88,G96,G97,G100,G92)</f>
        <v>0</v>
      </c>
      <c r="H101" s="606">
        <f>SUM(H81,H83,H84,H85,H87,H88,H96,H97,H100,H92)</f>
        <v>1496.8</v>
      </c>
      <c r="I101" s="605">
        <f t="shared" si="15"/>
        <v>6754.8</v>
      </c>
      <c r="J101" s="606">
        <f t="shared" si="15"/>
        <v>0</v>
      </c>
      <c r="K101" s="1402">
        <f t="shared" si="15"/>
        <v>6754.8</v>
      </c>
      <c r="L101" s="504"/>
      <c r="M101" s="504"/>
      <c r="N101" s="400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</row>
    <row r="102" spans="1:36" s="9" customFormat="1" ht="48" customHeight="1" thickBot="1" x14ac:dyDescent="0.4">
      <c r="A102" s="2231" t="s">
        <v>315</v>
      </c>
      <c r="B102" s="2232"/>
      <c r="C102" s="2232"/>
      <c r="D102" s="193">
        <v>1700</v>
      </c>
      <c r="E102" s="569">
        <v>0</v>
      </c>
      <c r="F102" s="613">
        <v>0</v>
      </c>
      <c r="G102" s="613">
        <v>0</v>
      </c>
      <c r="H102" s="601">
        <f t="shared" si="12"/>
        <v>0</v>
      </c>
      <c r="I102" s="569">
        <v>0</v>
      </c>
      <c r="J102" s="613">
        <v>0</v>
      </c>
      <c r="K102" s="602">
        <f t="shared" si="13"/>
        <v>0</v>
      </c>
      <c r="L102" s="502"/>
      <c r="M102" s="502"/>
      <c r="N102" s="400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</row>
    <row r="103" spans="1:36" s="9" customFormat="1" ht="22.35" customHeight="1" thickBot="1" x14ac:dyDescent="0.4">
      <c r="A103" s="2252" t="s">
        <v>120</v>
      </c>
      <c r="B103" s="2253"/>
      <c r="C103" s="2253"/>
      <c r="D103" s="607">
        <v>1900</v>
      </c>
      <c r="E103" s="608">
        <f t="shared" ref="E103:K103" si="16">SUM(E67,E79,E101,E102)</f>
        <v>71621.5</v>
      </c>
      <c r="F103" s="609">
        <f t="shared" si="16"/>
        <v>0</v>
      </c>
      <c r="G103" s="609">
        <f t="shared" si="16"/>
        <v>9919.4</v>
      </c>
      <c r="H103" s="609">
        <f t="shared" si="16"/>
        <v>81540.899999999994</v>
      </c>
      <c r="I103" s="608">
        <f t="shared" si="16"/>
        <v>94342.2</v>
      </c>
      <c r="J103" s="609">
        <f t="shared" si="16"/>
        <v>0</v>
      </c>
      <c r="K103" s="1405">
        <f t="shared" si="16"/>
        <v>94342.2</v>
      </c>
      <c r="L103" s="502"/>
      <c r="M103" s="502"/>
      <c r="N103" s="400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</row>
    <row r="104" spans="1:36" ht="27" thickBot="1" x14ac:dyDescent="0.3">
      <c r="A104" s="8"/>
      <c r="B104" s="6"/>
      <c r="C104" s="6"/>
      <c r="D104" s="2240" t="s">
        <v>1209</v>
      </c>
      <c r="E104" s="2240"/>
      <c r="F104" s="2240"/>
      <c r="G104" s="2240"/>
      <c r="H104" s="2240"/>
      <c r="I104" s="2240"/>
    </row>
    <row r="105" spans="1:36" s="12" customFormat="1" ht="149.65" customHeight="1" thickBot="1" x14ac:dyDescent="0.3">
      <c r="A105" s="2229" t="s">
        <v>2087</v>
      </c>
      <c r="B105" s="2230"/>
      <c r="C105" s="1803" t="s">
        <v>2101</v>
      </c>
      <c r="D105" s="1804" t="s">
        <v>2088</v>
      </c>
      <c r="E105" s="1806">
        <v>5555</v>
      </c>
      <c r="F105" s="1805" t="s">
        <v>2089</v>
      </c>
      <c r="G105" s="1803" t="s">
        <v>2102</v>
      </c>
      <c r="H105" s="1805" t="s">
        <v>2090</v>
      </c>
      <c r="I105" s="1803">
        <v>5555</v>
      </c>
      <c r="J105" s="1805" t="s">
        <v>2091</v>
      </c>
      <c r="K105" s="1808" t="s">
        <v>2098</v>
      </c>
      <c r="L105" s="495"/>
      <c r="M105" s="495"/>
      <c r="N105" s="8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</row>
    <row r="106" spans="1:36" s="79" customFormat="1" x14ac:dyDescent="0.25">
      <c r="A106" s="76"/>
      <c r="B106" s="80"/>
      <c r="C106" s="80"/>
      <c r="D106" s="80"/>
      <c r="E106" s="76"/>
      <c r="F106" s="132"/>
      <c r="G106" s="132"/>
      <c r="H106" s="76"/>
      <c r="I106" s="76"/>
      <c r="J106" s="620"/>
      <c r="K106" s="77"/>
      <c r="L106" s="497"/>
      <c r="M106" s="497"/>
      <c r="N106" s="879"/>
    </row>
    <row r="107" spans="1:36" s="79" customFormat="1" x14ac:dyDescent="0.25">
      <c r="A107" s="76"/>
      <c r="B107" s="80"/>
      <c r="C107" s="80"/>
      <c r="D107" s="80"/>
      <c r="E107" s="76"/>
      <c r="F107" s="132"/>
      <c r="G107" s="132"/>
      <c r="H107" s="76"/>
      <c r="I107" s="76"/>
      <c r="J107" s="620"/>
      <c r="K107" s="77"/>
      <c r="L107" s="497"/>
      <c r="M107" s="497"/>
      <c r="N107" s="879"/>
    </row>
    <row r="108" spans="1:36" s="79" customFormat="1" x14ac:dyDescent="0.25">
      <c r="A108" s="76"/>
      <c r="B108" s="80"/>
      <c r="C108" s="80"/>
      <c r="D108" s="80"/>
      <c r="E108" s="76"/>
      <c r="F108" s="132"/>
      <c r="G108" s="132"/>
      <c r="H108" s="76"/>
      <c r="I108" s="76"/>
      <c r="J108" s="620"/>
      <c r="K108" s="77"/>
      <c r="L108" s="497"/>
      <c r="M108" s="497"/>
      <c r="N108" s="879"/>
    </row>
    <row r="109" spans="1:36" s="76" customFormat="1" x14ac:dyDescent="0.25">
      <c r="B109" s="80"/>
      <c r="C109" s="80"/>
      <c r="D109" s="80"/>
      <c r="E109" s="81"/>
      <c r="F109" s="133"/>
      <c r="G109" s="133"/>
      <c r="H109" s="81"/>
      <c r="I109" s="81"/>
      <c r="J109" s="620"/>
      <c r="K109" s="77"/>
      <c r="L109" s="497"/>
      <c r="M109" s="497"/>
      <c r="N109" s="876"/>
    </row>
    <row r="110" spans="1:36" s="76" customFormat="1" x14ac:dyDescent="0.25">
      <c r="B110" s="80"/>
      <c r="C110" s="80"/>
      <c r="D110" s="80"/>
      <c r="E110" s="81"/>
      <c r="F110" s="133"/>
      <c r="G110" s="133"/>
      <c r="H110" s="81"/>
      <c r="I110" s="81"/>
      <c r="J110" s="620"/>
      <c r="K110" s="77"/>
      <c r="L110" s="497"/>
      <c r="M110" s="497"/>
      <c r="N110" s="876"/>
    </row>
    <row r="111" spans="1:36" s="76" customFormat="1" x14ac:dyDescent="0.25">
      <c r="B111" s="80"/>
      <c r="C111" s="80"/>
      <c r="D111" s="80"/>
      <c r="E111" s="81"/>
      <c r="F111" s="133"/>
      <c r="G111" s="133"/>
      <c r="H111" s="81"/>
      <c r="I111" s="81"/>
      <c r="J111" s="620"/>
      <c r="K111" s="77"/>
      <c r="L111" s="497"/>
      <c r="M111" s="497"/>
      <c r="N111" s="876"/>
    </row>
    <row r="112" spans="1:36" s="76" customFormat="1" x14ac:dyDescent="0.25">
      <c r="B112" s="80"/>
      <c r="C112" s="80"/>
      <c r="D112" s="80"/>
      <c r="E112" s="81"/>
      <c r="F112" s="133"/>
      <c r="G112" s="133"/>
      <c r="H112" s="81"/>
      <c r="I112" s="81"/>
      <c r="J112" s="620"/>
      <c r="K112" s="77"/>
      <c r="L112" s="497"/>
      <c r="M112" s="497"/>
      <c r="N112" s="876"/>
    </row>
    <row r="113" spans="2:14" s="76" customFormat="1" x14ac:dyDescent="0.25">
      <c r="B113" s="80"/>
      <c r="C113" s="80"/>
      <c r="D113" s="80"/>
      <c r="E113" s="81"/>
      <c r="F113" s="133"/>
      <c r="G113" s="133"/>
      <c r="H113" s="81"/>
      <c r="I113" s="81"/>
      <c r="J113" s="620"/>
      <c r="K113" s="77"/>
      <c r="L113" s="497"/>
      <c r="M113" s="497"/>
      <c r="N113" s="876"/>
    </row>
    <row r="114" spans="2:14" s="76" customFormat="1" x14ac:dyDescent="0.25">
      <c r="B114" s="80"/>
      <c r="C114" s="80"/>
      <c r="D114" s="80"/>
      <c r="E114" s="81"/>
      <c r="F114" s="133"/>
      <c r="G114" s="133"/>
      <c r="H114" s="81"/>
      <c r="I114" s="81"/>
      <c r="J114" s="620"/>
      <c r="K114" s="77"/>
      <c r="L114" s="497"/>
      <c r="M114" s="497"/>
      <c r="N114" s="876"/>
    </row>
    <row r="115" spans="2:14" s="76" customFormat="1" x14ac:dyDescent="0.25">
      <c r="B115" s="80"/>
      <c r="C115" s="80"/>
      <c r="D115" s="80"/>
      <c r="E115" s="81"/>
      <c r="F115" s="133"/>
      <c r="G115" s="133"/>
      <c r="H115" s="81"/>
      <c r="I115" s="81"/>
      <c r="J115" s="620"/>
      <c r="K115" s="77"/>
      <c r="L115" s="497"/>
      <c r="M115" s="497"/>
      <c r="N115" s="876"/>
    </row>
    <row r="116" spans="2:14" s="76" customFormat="1" x14ac:dyDescent="0.25">
      <c r="B116" s="80"/>
      <c r="C116" s="80"/>
      <c r="D116" s="80"/>
      <c r="E116" s="81"/>
      <c r="F116" s="133"/>
      <c r="G116" s="133"/>
      <c r="H116" s="81"/>
      <c r="I116" s="81"/>
      <c r="J116" s="620"/>
      <c r="K116" s="77"/>
      <c r="L116" s="497"/>
      <c r="M116" s="497"/>
      <c r="N116" s="876"/>
    </row>
    <row r="117" spans="2:14" s="76" customFormat="1" x14ac:dyDescent="0.25">
      <c r="B117" s="80"/>
      <c r="C117" s="80"/>
      <c r="D117" s="80"/>
      <c r="E117" s="81"/>
      <c r="F117" s="133"/>
      <c r="G117" s="133"/>
      <c r="H117" s="81"/>
      <c r="I117" s="81"/>
      <c r="J117" s="620"/>
      <c r="K117" s="77"/>
      <c r="L117" s="497"/>
      <c r="M117" s="497"/>
      <c r="N117" s="876"/>
    </row>
    <row r="118" spans="2:14" s="76" customFormat="1" x14ac:dyDescent="0.25">
      <c r="B118" s="80"/>
      <c r="C118" s="80"/>
      <c r="D118" s="80"/>
      <c r="E118" s="81"/>
      <c r="F118" s="133"/>
      <c r="G118" s="133"/>
      <c r="H118" s="81"/>
      <c r="I118" s="81"/>
      <c r="J118" s="620"/>
      <c r="K118" s="77"/>
      <c r="L118" s="497"/>
      <c r="M118" s="497"/>
      <c r="N118" s="876"/>
    </row>
    <row r="119" spans="2:14" s="76" customFormat="1" x14ac:dyDescent="0.25">
      <c r="B119" s="80"/>
      <c r="C119" s="80"/>
      <c r="D119" s="80"/>
      <c r="E119" s="81"/>
      <c r="F119" s="133"/>
      <c r="G119" s="133"/>
      <c r="H119" s="81"/>
      <c r="I119" s="81"/>
      <c r="J119" s="620"/>
      <c r="K119" s="77"/>
      <c r="L119" s="497"/>
      <c r="M119" s="497"/>
      <c r="N119" s="876"/>
    </row>
    <row r="120" spans="2:14" s="76" customFormat="1" x14ac:dyDescent="0.25">
      <c r="B120" s="80"/>
      <c r="C120" s="80"/>
      <c r="D120" s="80"/>
      <c r="E120" s="81"/>
      <c r="F120" s="133"/>
      <c r="G120" s="133"/>
      <c r="H120" s="81"/>
      <c r="I120" s="81"/>
      <c r="J120" s="620"/>
      <c r="K120" s="77"/>
      <c r="L120" s="497"/>
      <c r="M120" s="497"/>
      <c r="N120" s="876"/>
    </row>
    <row r="121" spans="2:14" s="76" customFormat="1" x14ac:dyDescent="0.25">
      <c r="B121" s="80"/>
      <c r="C121" s="80"/>
      <c r="D121" s="80"/>
      <c r="E121" s="81"/>
      <c r="F121" s="133"/>
      <c r="G121" s="133"/>
      <c r="H121" s="81"/>
      <c r="I121" s="81"/>
      <c r="J121" s="620"/>
      <c r="K121" s="77"/>
      <c r="L121" s="497"/>
      <c r="M121" s="497"/>
      <c r="N121" s="876"/>
    </row>
    <row r="122" spans="2:14" s="76" customFormat="1" x14ac:dyDescent="0.25">
      <c r="B122" s="80"/>
      <c r="C122" s="80"/>
      <c r="D122" s="80"/>
      <c r="E122" s="81"/>
      <c r="F122" s="133"/>
      <c r="G122" s="133"/>
      <c r="H122" s="81"/>
      <c r="I122" s="81"/>
      <c r="J122" s="620"/>
      <c r="K122" s="77"/>
      <c r="L122" s="497"/>
      <c r="M122" s="497"/>
      <c r="N122" s="876"/>
    </row>
    <row r="123" spans="2:14" s="76" customFormat="1" x14ac:dyDescent="0.25">
      <c r="B123" s="80"/>
      <c r="C123" s="80"/>
      <c r="D123" s="80"/>
      <c r="E123" s="81"/>
      <c r="F123" s="133"/>
      <c r="G123" s="133"/>
      <c r="H123" s="81"/>
      <c r="I123" s="81"/>
      <c r="J123" s="620"/>
      <c r="K123" s="77"/>
      <c r="L123" s="497"/>
      <c r="M123" s="497"/>
      <c r="N123" s="876"/>
    </row>
    <row r="124" spans="2:14" s="76" customFormat="1" x14ac:dyDescent="0.25">
      <c r="B124" s="80"/>
      <c r="C124" s="80"/>
      <c r="D124" s="80"/>
      <c r="E124" s="81"/>
      <c r="F124" s="133"/>
      <c r="G124" s="133"/>
      <c r="H124" s="81"/>
      <c r="I124" s="81"/>
      <c r="J124" s="620"/>
      <c r="K124" s="77"/>
      <c r="L124" s="497"/>
      <c r="M124" s="497"/>
      <c r="N124" s="876"/>
    </row>
    <row r="125" spans="2:14" s="76" customFormat="1" x14ac:dyDescent="0.25">
      <c r="B125" s="80"/>
      <c r="C125" s="80"/>
      <c r="D125" s="80"/>
      <c r="E125" s="81"/>
      <c r="F125" s="133"/>
      <c r="G125" s="133"/>
      <c r="H125" s="81"/>
      <c r="I125" s="81"/>
      <c r="J125" s="620"/>
      <c r="K125" s="77"/>
      <c r="L125" s="497"/>
      <c r="M125" s="497"/>
      <c r="N125" s="876"/>
    </row>
    <row r="126" spans="2:14" s="76" customFormat="1" x14ac:dyDescent="0.25">
      <c r="B126" s="80"/>
      <c r="C126" s="80"/>
      <c r="D126" s="80"/>
      <c r="E126" s="81"/>
      <c r="F126" s="133"/>
      <c r="G126" s="133"/>
      <c r="H126" s="81"/>
      <c r="I126" s="81"/>
      <c r="J126" s="620"/>
      <c r="K126" s="77"/>
      <c r="L126" s="497"/>
      <c r="M126" s="497"/>
      <c r="N126" s="876"/>
    </row>
    <row r="127" spans="2:14" s="76" customFormat="1" x14ac:dyDescent="0.25">
      <c r="B127" s="80"/>
      <c r="C127" s="80"/>
      <c r="D127" s="80"/>
      <c r="E127" s="81"/>
      <c r="F127" s="133"/>
      <c r="G127" s="133"/>
      <c r="H127" s="81"/>
      <c r="I127" s="81"/>
      <c r="J127" s="620"/>
      <c r="K127" s="77"/>
      <c r="L127" s="497"/>
      <c r="M127" s="497"/>
      <c r="N127" s="876"/>
    </row>
    <row r="128" spans="2:14" s="76" customFormat="1" x14ac:dyDescent="0.25">
      <c r="B128" s="80"/>
      <c r="C128" s="80"/>
      <c r="D128" s="80"/>
      <c r="E128" s="81"/>
      <c r="F128" s="133"/>
      <c r="G128" s="133"/>
      <c r="H128" s="81"/>
      <c r="I128" s="81"/>
      <c r="J128" s="620"/>
      <c r="K128" s="77"/>
      <c r="L128" s="497"/>
      <c r="M128" s="497"/>
      <c r="N128" s="876"/>
    </row>
    <row r="129" spans="2:14" s="76" customFormat="1" x14ac:dyDescent="0.25">
      <c r="B129" s="80"/>
      <c r="C129" s="80"/>
      <c r="D129" s="80"/>
      <c r="E129" s="81"/>
      <c r="F129" s="133"/>
      <c r="G129" s="133"/>
      <c r="H129" s="81"/>
      <c r="I129" s="81"/>
      <c r="J129" s="620"/>
      <c r="K129" s="77"/>
      <c r="L129" s="497"/>
      <c r="M129" s="497"/>
      <c r="N129" s="876"/>
    </row>
    <row r="130" spans="2:14" s="76" customFormat="1" x14ac:dyDescent="0.25">
      <c r="B130" s="80"/>
      <c r="C130" s="80"/>
      <c r="D130" s="80"/>
      <c r="E130" s="81"/>
      <c r="F130" s="133"/>
      <c r="G130" s="133"/>
      <c r="H130" s="81"/>
      <c r="I130" s="81"/>
      <c r="J130" s="620"/>
      <c r="K130" s="77"/>
      <c r="L130" s="497"/>
      <c r="M130" s="497"/>
      <c r="N130" s="876"/>
    </row>
    <row r="131" spans="2:14" s="76" customFormat="1" x14ac:dyDescent="0.25">
      <c r="B131" s="80"/>
      <c r="C131" s="80"/>
      <c r="D131" s="80"/>
      <c r="E131" s="81"/>
      <c r="F131" s="133"/>
      <c r="G131" s="133"/>
      <c r="H131" s="81"/>
      <c r="I131" s="81"/>
      <c r="J131" s="620"/>
      <c r="K131" s="77"/>
      <c r="L131" s="497"/>
      <c r="M131" s="497"/>
      <c r="N131" s="876"/>
    </row>
    <row r="132" spans="2:14" s="76" customFormat="1" x14ac:dyDescent="0.25">
      <c r="B132" s="80"/>
      <c r="C132" s="80"/>
      <c r="D132" s="80"/>
      <c r="E132" s="81"/>
      <c r="F132" s="133"/>
      <c r="G132" s="133"/>
      <c r="H132" s="81"/>
      <c r="I132" s="81"/>
      <c r="J132" s="620"/>
      <c r="K132" s="77"/>
      <c r="L132" s="497"/>
      <c r="M132" s="497"/>
      <c r="N132" s="876"/>
    </row>
    <row r="133" spans="2:14" s="76" customFormat="1" x14ac:dyDescent="0.25">
      <c r="B133" s="80"/>
      <c r="C133" s="80"/>
      <c r="D133" s="80"/>
      <c r="E133" s="81"/>
      <c r="F133" s="133"/>
      <c r="G133" s="133"/>
      <c r="H133" s="81"/>
      <c r="I133" s="81"/>
      <c r="J133" s="620"/>
      <c r="K133" s="77"/>
      <c r="L133" s="497"/>
      <c r="M133" s="497"/>
      <c r="N133" s="876"/>
    </row>
    <row r="134" spans="2:14" s="76" customFormat="1" x14ac:dyDescent="0.25">
      <c r="B134" s="80"/>
      <c r="C134" s="80"/>
      <c r="D134" s="80"/>
      <c r="E134" s="81"/>
      <c r="F134" s="133"/>
      <c r="G134" s="133"/>
      <c r="H134" s="81"/>
      <c r="I134" s="81"/>
      <c r="J134" s="620"/>
      <c r="K134" s="77"/>
      <c r="L134" s="497"/>
      <c r="M134" s="497"/>
      <c r="N134" s="876"/>
    </row>
    <row r="135" spans="2:14" s="76" customFormat="1" x14ac:dyDescent="0.25">
      <c r="B135" s="80"/>
      <c r="C135" s="80"/>
      <c r="D135" s="80"/>
      <c r="E135" s="81"/>
      <c r="F135" s="133"/>
      <c r="G135" s="133"/>
      <c r="H135" s="81"/>
      <c r="I135" s="81"/>
      <c r="J135" s="620"/>
      <c r="K135" s="77"/>
      <c r="L135" s="497"/>
      <c r="M135" s="497"/>
      <c r="N135" s="876"/>
    </row>
    <row r="136" spans="2:14" s="76" customFormat="1" x14ac:dyDescent="0.25">
      <c r="B136" s="80"/>
      <c r="C136" s="80"/>
      <c r="D136" s="80"/>
      <c r="E136" s="81"/>
      <c r="F136" s="133"/>
      <c r="G136" s="133"/>
      <c r="H136" s="81"/>
      <c r="I136" s="81"/>
      <c r="J136" s="620"/>
      <c r="K136" s="77"/>
      <c r="L136" s="497"/>
      <c r="M136" s="497"/>
      <c r="N136" s="876"/>
    </row>
    <row r="137" spans="2:14" s="76" customFormat="1" x14ac:dyDescent="0.25">
      <c r="B137" s="80"/>
      <c r="C137" s="80"/>
      <c r="D137" s="80"/>
      <c r="E137" s="81"/>
      <c r="F137" s="133"/>
      <c r="G137" s="133"/>
      <c r="H137" s="81"/>
      <c r="I137" s="81"/>
      <c r="J137" s="620"/>
      <c r="K137" s="77"/>
      <c r="L137" s="497"/>
      <c r="M137" s="497"/>
      <c r="N137" s="876"/>
    </row>
  </sheetData>
  <sheetProtection password="F86B" sheet="1" formatCells="0" formatColumns="0" formatRows="0"/>
  <mergeCells count="129">
    <mergeCell ref="A22:C22"/>
    <mergeCell ref="A23:C23"/>
    <mergeCell ref="A20:C20"/>
    <mergeCell ref="A21:C21"/>
    <mergeCell ref="L33:O33"/>
    <mergeCell ref="L35:R35"/>
    <mergeCell ref="A35:C35"/>
    <mergeCell ref="A34:C34"/>
    <mergeCell ref="A43:C43"/>
    <mergeCell ref="L46:R46"/>
    <mergeCell ref="A24:C24"/>
    <mergeCell ref="A25:C25"/>
    <mergeCell ref="A26:C26"/>
    <mergeCell ref="A27:C27"/>
    <mergeCell ref="A30:C30"/>
    <mergeCell ref="A29:C29"/>
    <mergeCell ref="A28:C28"/>
    <mergeCell ref="A31:C31"/>
    <mergeCell ref="A36:C36"/>
    <mergeCell ref="A38:C38"/>
    <mergeCell ref="A54:C54"/>
    <mergeCell ref="A40:C40"/>
    <mergeCell ref="A32:C32"/>
    <mergeCell ref="A33:C33"/>
    <mergeCell ref="A41:C41"/>
    <mergeCell ref="A42:C42"/>
    <mergeCell ref="A48:C48"/>
    <mergeCell ref="A37:C37"/>
    <mergeCell ref="A39:C39"/>
    <mergeCell ref="A53:C53"/>
    <mergeCell ref="A50:C50"/>
    <mergeCell ref="A51:C51"/>
    <mergeCell ref="A52:C52"/>
    <mergeCell ref="A44:C44"/>
    <mergeCell ref="A45:C45"/>
    <mergeCell ref="A46:C46"/>
    <mergeCell ref="A47:C47"/>
    <mergeCell ref="A49:C49"/>
    <mergeCell ref="X64:X66"/>
    <mergeCell ref="N64:N67"/>
    <mergeCell ref="P64:P66"/>
    <mergeCell ref="Q64:Q66"/>
    <mergeCell ref="R64:R66"/>
    <mergeCell ref="S64:S66"/>
    <mergeCell ref="U64:U66"/>
    <mergeCell ref="V64:V66"/>
    <mergeCell ref="W64:W66"/>
    <mergeCell ref="A67:C67"/>
    <mergeCell ref="A66:C66"/>
    <mergeCell ref="A61:C61"/>
    <mergeCell ref="A75:C75"/>
    <mergeCell ref="L71:M73"/>
    <mergeCell ref="T64:T66"/>
    <mergeCell ref="O64:O66"/>
    <mergeCell ref="A74:C74"/>
    <mergeCell ref="A68:C68"/>
    <mergeCell ref="A73:C73"/>
    <mergeCell ref="A19:C19"/>
    <mergeCell ref="A13:C13"/>
    <mergeCell ref="A14:C14"/>
    <mergeCell ref="A15:C15"/>
    <mergeCell ref="A16:C16"/>
    <mergeCell ref="A12:C12"/>
    <mergeCell ref="A11:C11"/>
    <mergeCell ref="A2:C2"/>
    <mergeCell ref="A7:C7"/>
    <mergeCell ref="A8:K8"/>
    <mergeCell ref="A9:A10"/>
    <mergeCell ref="B9:C9"/>
    <mergeCell ref="E9:F9"/>
    <mergeCell ref="I9:J9"/>
    <mergeCell ref="B10:C10"/>
    <mergeCell ref="E10:F10"/>
    <mergeCell ref="I10:J10"/>
    <mergeCell ref="L2:L7"/>
    <mergeCell ref="A1:K1"/>
    <mergeCell ref="A103:C103"/>
    <mergeCell ref="A85:C85"/>
    <mergeCell ref="A90:C90"/>
    <mergeCell ref="A91:C91"/>
    <mergeCell ref="A93:C93"/>
    <mergeCell ref="A98:C98"/>
    <mergeCell ref="A101:C101"/>
    <mergeCell ref="A82:C82"/>
    <mergeCell ref="A83:C83"/>
    <mergeCell ref="A100:C100"/>
    <mergeCell ref="A97:C97"/>
    <mergeCell ref="A96:C96"/>
    <mergeCell ref="A87:C87"/>
    <mergeCell ref="J2:K2"/>
    <mergeCell ref="J3:K3"/>
    <mergeCell ref="A4:K4"/>
    <mergeCell ref="A17:C17"/>
    <mergeCell ref="A18:C18"/>
    <mergeCell ref="D104:I104"/>
    <mergeCell ref="A78:C78"/>
    <mergeCell ref="A84:C84"/>
    <mergeCell ref="A92:C92"/>
    <mergeCell ref="A86:C86"/>
    <mergeCell ref="A80:C80"/>
    <mergeCell ref="A94:C94"/>
    <mergeCell ref="A95:C95"/>
    <mergeCell ref="A79:C79"/>
    <mergeCell ref="A105:B105"/>
    <mergeCell ref="L77:M77"/>
    <mergeCell ref="A77:C77"/>
    <mergeCell ref="A102:C102"/>
    <mergeCell ref="A99:C99"/>
    <mergeCell ref="A81:C81"/>
    <mergeCell ref="L55:M55"/>
    <mergeCell ref="L58:M60"/>
    <mergeCell ref="L61:M61"/>
    <mergeCell ref="A88:C88"/>
    <mergeCell ref="A89:C89"/>
    <mergeCell ref="A76:C76"/>
    <mergeCell ref="A69:C69"/>
    <mergeCell ref="A70:C70"/>
    <mergeCell ref="A71:C71"/>
    <mergeCell ref="A72:C72"/>
    <mergeCell ref="A64:C64"/>
    <mergeCell ref="A65:C65"/>
    <mergeCell ref="A55:C55"/>
    <mergeCell ref="A56:C56"/>
    <mergeCell ref="A57:C57"/>
    <mergeCell ref="A58:C58"/>
    <mergeCell ref="A59:C59"/>
    <mergeCell ref="A63:C63"/>
    <mergeCell ref="A62:C62"/>
    <mergeCell ref="A60:C60"/>
  </mergeCells>
  <conditionalFormatting sqref="L99:M99">
    <cfRule type="cellIs" dxfId="267" priority="54" operator="lessThan">
      <formula>0</formula>
    </cfRule>
  </conditionalFormatting>
  <conditionalFormatting sqref="E78:K78">
    <cfRule type="cellIs" dxfId="266" priority="24" operator="lessThan">
      <formula>0</formula>
    </cfRule>
  </conditionalFormatting>
  <conditionalFormatting sqref="E62:G62 I62:J62">
    <cfRule type="cellIs" dxfId="265" priority="20" operator="lessThan">
      <formula>0</formula>
    </cfRule>
  </conditionalFormatting>
  <conditionalFormatting sqref="E99:G99 I99:J99">
    <cfRule type="cellIs" dxfId="264" priority="21" operator="lessThan">
      <formula>0</formula>
    </cfRule>
  </conditionalFormatting>
  <conditionalFormatting sqref="L70">
    <cfRule type="containsText" dxfId="263" priority="14" stopIfTrue="1" operator="containsText" text="ПОМИЛКА">
      <formula>NOT(ISERROR(SEARCH("ПОМИЛКА",L70)))</formula>
    </cfRule>
    <cfRule type="containsText" dxfId="262" priority="15" stopIfTrue="1" operator="containsText" text="Увага">
      <formula>NOT(ISERROR(SEARCH("Увага",L70)))</formula>
    </cfRule>
    <cfRule type="containsText" dxfId="261" priority="16" stopIfTrue="1" operator="containsText" text="ПРАВДА">
      <formula>NOT(ISERROR(SEARCH("ПРАВДА",L70)))</formula>
    </cfRule>
  </conditionalFormatting>
  <conditionalFormatting sqref="M70">
    <cfRule type="containsText" dxfId="260" priority="11" stopIfTrue="1" operator="containsText" text="ПОМИЛКА">
      <formula>NOT(ISERROR(SEARCH("ПОМИЛКА",M70)))</formula>
    </cfRule>
    <cfRule type="containsText" dxfId="259" priority="12" stopIfTrue="1" operator="containsText" text="Увага">
      <formula>NOT(ISERROR(SEARCH("Увага",M70)))</formula>
    </cfRule>
    <cfRule type="containsText" dxfId="258" priority="13" stopIfTrue="1" operator="containsText" text="ПРАВДА">
      <formula>NOT(ISERROR(SEARCH("ПРАВДА",M70)))</formula>
    </cfRule>
  </conditionalFormatting>
  <conditionalFormatting sqref="L74:L76">
    <cfRule type="containsText" dxfId="257" priority="8" stopIfTrue="1" operator="containsText" text="ПОМИЛКА">
      <formula>NOT(ISERROR(SEARCH("ПОМИЛКА",L74)))</formula>
    </cfRule>
    <cfRule type="containsText" dxfId="256" priority="9" stopIfTrue="1" operator="containsText" text="Увага">
      <formula>NOT(ISERROR(SEARCH("Увага",L74)))</formula>
    </cfRule>
    <cfRule type="containsText" dxfId="255" priority="10" stopIfTrue="1" operator="containsText" text="ПРАВДА">
      <formula>NOT(ISERROR(SEARCH("ПРАВДА",L74)))</formula>
    </cfRule>
  </conditionalFormatting>
  <conditionalFormatting sqref="L79">
    <cfRule type="containsText" dxfId="254" priority="5" stopIfTrue="1" operator="containsText" text="ПОМИЛКА">
      <formula>NOT(ISERROR(SEARCH("ПОМИЛКА",L79)))</formula>
    </cfRule>
    <cfRule type="containsText" dxfId="253" priority="6" stopIfTrue="1" operator="containsText" text="Увага">
      <formula>NOT(ISERROR(SEARCH("Увага",L79)))</formula>
    </cfRule>
    <cfRule type="containsText" dxfId="252" priority="7" stopIfTrue="1" operator="containsText" text="ПРАВДА">
      <formula>NOT(ISERROR(SEARCH("ПРАВДА",L79)))</formula>
    </cfRule>
  </conditionalFormatting>
  <conditionalFormatting sqref="L47:R47">
    <cfRule type="containsText" dxfId="251" priority="2" stopIfTrue="1" operator="containsText" text="ПОМИЛКА">
      <formula>NOT(ISERROR(SEARCH("ПОМИЛКА",L47)))</formula>
    </cfRule>
    <cfRule type="containsText" dxfId="250" priority="3" stopIfTrue="1" operator="containsText" text="Увага">
      <formula>NOT(ISERROR(SEARCH("Увага",L47)))</formula>
    </cfRule>
    <cfRule type="containsText" dxfId="249" priority="4" stopIfTrue="1" operator="containsText" text="ПРАВДА">
      <formula>NOT(ISERROR(SEARCH("ПРАВДА",L47)))</formula>
    </cfRule>
  </conditionalFormatting>
  <conditionalFormatting sqref="E77">
    <cfRule type="cellIs" dxfId="248" priority="1" operator="lessThan">
      <formula>0</formula>
    </cfRule>
  </conditionalFormatting>
  <dataValidations count="2">
    <dataValidation type="decimal" showInputMessage="1" showErrorMessage="1" error="Внесіть, будь ласка, число." sqref="E23:G28 I81:J81 E66:G67 F74:K74 N58 Q93:V95 M57 K28 E30:G53 I23:J28 E21:G21 I44:J53 E78:K79 F69:G73 E81:G81 H67 K67 H101 H103 K101 K103 H52 K52 H28 I75:J77 I30:J42 H43:K43 Q33:R34 I21:J21 S33:V35 E69:E77 I83:J103 I66:J67 I69:J73 E58:G64 F75:G77 I58:J64 E83:G103">
      <formula1>-1000000000000</formula1>
      <formula2>1000000000000</formula2>
    </dataValidation>
    <dataValidation type="decimal" operator="lessThanOrEqual" allowBlank="1" showInputMessage="1" showErrorMessage="1" sqref="E65:K65">
      <formula1>0</formula1>
    </dataValidation>
  </dataValidations>
  <printOptions horizontalCentered="1"/>
  <pageMargins left="0.19685039370078741" right="0.27559055118110237" top="0.59055118110236227" bottom="0.35433070866141736" header="0.39370078740157483" footer="0.31496062992125984"/>
  <pageSetup paperSize="9" scale="39" orientation="landscape" r:id="rId1"/>
  <headerFooter alignWithMargins="0">
    <oddFooter>&amp;RСтор.  &amp;P</oddFooter>
  </headerFooter>
  <rowBreaks count="2" manualBreakCount="2">
    <brk id="54" max="16383" man="1"/>
    <brk id="103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4"/>
  <sheetViews>
    <sheetView zoomScale="80" zoomScaleNormal="80" workbookViewId="0">
      <selection activeCell="K9" sqref="K9"/>
    </sheetView>
  </sheetViews>
  <sheetFormatPr defaultColWidth="32" defaultRowHeight="15" x14ac:dyDescent="0.25"/>
  <cols>
    <col min="1" max="1" width="13.42578125" style="1377" customWidth="1"/>
    <col min="2" max="2" width="10.7109375" style="1377" customWidth="1"/>
    <col min="3" max="3" width="10" style="1377" customWidth="1"/>
    <col min="4" max="4" width="16.28515625" style="1377" customWidth="1"/>
    <col min="5" max="5" width="20.7109375" style="1377" customWidth="1"/>
    <col min="6" max="6" width="27.28515625" style="1377" customWidth="1"/>
    <col min="7" max="7" width="18.28515625" style="1377" customWidth="1"/>
    <col min="8" max="8" width="17.5703125" style="1377" customWidth="1"/>
    <col min="9" max="9" width="21.7109375" style="1377" customWidth="1"/>
    <col min="10" max="10" width="19.7109375" style="1377" customWidth="1"/>
    <col min="11" max="11" width="18.28515625" style="1377" customWidth="1"/>
    <col min="12" max="12" width="22.5703125" style="1604" customWidth="1"/>
    <col min="13" max="13" width="22.28515625" style="1377" customWidth="1"/>
    <col min="14" max="14" width="12.7109375" style="1377" customWidth="1"/>
    <col min="15" max="15" width="18.28515625" style="1377" customWidth="1"/>
    <col min="16" max="16" width="20.5703125" style="1377" customWidth="1"/>
    <col min="17" max="17" width="18.42578125" style="1377" customWidth="1"/>
    <col min="18" max="18" width="22.28515625" style="1377" customWidth="1"/>
    <col min="19" max="255" width="9.28515625" style="1377" customWidth="1"/>
    <col min="256" max="16384" width="32" style="1377"/>
  </cols>
  <sheetData>
    <row r="1" spans="1:24" ht="15.75" x14ac:dyDescent="0.25">
      <c r="A1" s="1378" t="str">
        <f>'Звіт 1,2,3'!B1</f>
        <v>Ідентифікаційний код ЄДРПОУ</v>
      </c>
      <c r="B1" s="1379"/>
      <c r="C1" s="1379"/>
      <c r="D1" s="1379"/>
      <c r="E1" s="1590" t="str">
        <f>'Звіт 1,2,3'!D1</f>
        <v>02006707</v>
      </c>
      <c r="F1" s="2326" t="str">
        <f>'Звіт 1,2,3'!F1</f>
        <v>код КОПФГ</v>
      </c>
      <c r="G1" s="2326"/>
      <c r="H1" s="1378">
        <f>'Звіт 1,2,3'!H1</f>
        <v>430</v>
      </c>
    </row>
    <row r="3" spans="1:24" x14ac:dyDescent="0.25">
      <c r="A3" s="2329" t="str">
        <f>'Звіт 1,2,3'!A3:S3</f>
        <v>ЗВІТ ПРО ДОХОДИ ТА ВИТРАТИ за 1 півріччя  2021 року</v>
      </c>
      <c r="B3" s="2329"/>
      <c r="C3" s="2329"/>
      <c r="D3" s="2329"/>
      <c r="E3" s="2329"/>
      <c r="F3" s="2329"/>
      <c r="G3" s="2329"/>
      <c r="H3" s="2329"/>
      <c r="I3" s="2329"/>
      <c r="J3" s="2329"/>
      <c r="K3" s="2329"/>
    </row>
    <row r="4" spans="1:24" x14ac:dyDescent="0.25">
      <c r="A4" s="1579"/>
      <c r="B4" s="1579"/>
      <c r="C4" s="1579"/>
      <c r="D4" s="1579"/>
      <c r="E4" s="1579"/>
      <c r="F4" s="1579"/>
      <c r="G4" s="1579"/>
      <c r="H4" s="1579"/>
      <c r="I4" s="1579"/>
    </row>
    <row r="5" spans="1:24" ht="36" customHeight="1" x14ac:dyDescent="0.25">
      <c r="A5" s="2330" t="s">
        <v>2077</v>
      </c>
      <c r="B5" s="2330"/>
      <c r="C5" s="2330"/>
      <c r="D5" s="2330"/>
      <c r="E5" s="2330"/>
      <c r="F5" s="2330"/>
      <c r="G5" s="2330"/>
      <c r="H5" s="2330"/>
      <c r="I5" s="2330"/>
      <c r="J5" s="2330"/>
      <c r="K5" s="2330"/>
    </row>
    <row r="6" spans="1:24" ht="23.25" customHeight="1" x14ac:dyDescent="0.3">
      <c r="A6" s="1669" t="s">
        <v>2050</v>
      </c>
    </row>
    <row r="7" spans="1:24" ht="23.25" customHeight="1" x14ac:dyDescent="0.3">
      <c r="A7" s="1669" t="s">
        <v>2052</v>
      </c>
    </row>
    <row r="8" spans="1:24" ht="24" customHeight="1" x14ac:dyDescent="0.3">
      <c r="A8" s="2316" t="s">
        <v>2053</v>
      </c>
      <c r="B8" s="2317"/>
      <c r="C8" s="2317"/>
      <c r="D8" s="2317"/>
      <c r="E8" s="2317"/>
      <c r="F8" s="2317"/>
      <c r="G8" s="2317"/>
      <c r="H8" s="2317"/>
      <c r="I8" s="2317"/>
      <c r="J8" s="2318"/>
      <c r="K8" s="1670" t="s">
        <v>2099</v>
      </c>
    </row>
    <row r="9" spans="1:24" ht="43.5" customHeight="1" x14ac:dyDescent="0.3">
      <c r="A9" s="2319" t="s">
        <v>2076</v>
      </c>
      <c r="B9" s="2320"/>
      <c r="C9" s="2320"/>
      <c r="D9" s="2320"/>
      <c r="E9" s="2320"/>
      <c r="F9" s="2320"/>
      <c r="G9" s="2320"/>
      <c r="H9" s="2320"/>
      <c r="I9" s="2320"/>
      <c r="J9" s="2321"/>
      <c r="K9" s="1670" t="s">
        <v>2099</v>
      </c>
    </row>
    <row r="10" spans="1:24" ht="24" customHeight="1" x14ac:dyDescent="0.3">
      <c r="A10" s="2316" t="s">
        <v>2078</v>
      </c>
      <c r="B10" s="2317"/>
      <c r="C10" s="2317"/>
      <c r="D10" s="2317"/>
      <c r="E10" s="2317"/>
      <c r="F10" s="2317"/>
      <c r="G10" s="2317"/>
      <c r="H10" s="2317"/>
      <c r="I10" s="2317"/>
      <c r="J10" s="2318"/>
      <c r="K10" s="1670" t="s">
        <v>2099</v>
      </c>
      <c r="L10" s="1577" t="str">
        <f>IF('Звіт   4,5,6'!E43=0,"Дані не введено",IF(AND(OR(K10="так",K10="частково"),E20&gt;0,E25&gt;0,P25&gt;0),"ПРАВДА",IF(AND(K10="ні",E20=0,E25=0,P25=0),"ПРАВДА","ПОМИЛКА")))</f>
        <v>ПРАВДА</v>
      </c>
    </row>
    <row r="11" spans="1:24" ht="24" customHeight="1" x14ac:dyDescent="0.3">
      <c r="A11" s="1674" t="s">
        <v>2051</v>
      </c>
      <c r="B11" s="1576"/>
      <c r="C11" s="1576"/>
      <c r="D11" s="1576"/>
      <c r="E11" s="1576"/>
      <c r="F11" s="1576"/>
      <c r="G11" s="2327" t="s">
        <v>2100</v>
      </c>
      <c r="H11" s="2328"/>
      <c r="I11" s="2328"/>
      <c r="J11" s="2328"/>
      <c r="K11" s="2328"/>
      <c r="L11" s="1757"/>
    </row>
    <row r="12" spans="1:24" ht="24" customHeight="1" x14ac:dyDescent="0.25">
      <c r="L12" s="1757"/>
    </row>
    <row r="13" spans="1:24" ht="15.75" x14ac:dyDescent="0.25">
      <c r="A13" s="2322" t="s">
        <v>444</v>
      </c>
      <c r="B13" s="2322"/>
      <c r="C13" s="2322"/>
      <c r="D13" s="2322"/>
      <c r="E13" s="2322"/>
      <c r="J13" s="1587"/>
      <c r="K13" s="1587"/>
      <c r="L13" s="1760"/>
      <c r="M13" s="1587"/>
      <c r="N13" s="1587"/>
    </row>
    <row r="14" spans="1:24" ht="12.75" customHeight="1" thickBot="1" x14ac:dyDescent="0.3">
      <c r="A14" s="1616"/>
      <c r="B14" s="1600"/>
      <c r="C14" s="1600"/>
      <c r="D14" s="1600"/>
      <c r="E14" s="1600"/>
      <c r="I14" s="1587"/>
      <c r="J14" s="1587"/>
      <c r="K14" s="1377" t="s">
        <v>248</v>
      </c>
      <c r="L14" s="1757"/>
    </row>
    <row r="15" spans="1:24" ht="15" customHeight="1" x14ac:dyDescent="0.25">
      <c r="A15" s="2331" t="s">
        <v>6</v>
      </c>
      <c r="B15" s="2323" t="s">
        <v>7</v>
      </c>
      <c r="C15" s="2323"/>
      <c r="D15" s="2323"/>
      <c r="E15" s="2324" t="s">
        <v>1995</v>
      </c>
      <c r="F15" s="2324"/>
      <c r="G15" s="2324"/>
      <c r="H15" s="2325"/>
      <c r="I15" s="2308" t="s">
        <v>1986</v>
      </c>
      <c r="J15" s="2309" t="s">
        <v>1987</v>
      </c>
      <c r="K15" s="2309" t="s">
        <v>1926</v>
      </c>
      <c r="L15" s="1761"/>
      <c r="M15" s="1582"/>
    </row>
    <row r="16" spans="1:24" ht="31.5" customHeight="1" x14ac:dyDescent="0.25">
      <c r="A16" s="2332"/>
      <c r="B16" s="2306"/>
      <c r="C16" s="2306"/>
      <c r="D16" s="2306"/>
      <c r="E16" s="2057"/>
      <c r="F16" s="2057"/>
      <c r="G16" s="2057"/>
      <c r="H16" s="2315"/>
      <c r="I16" s="2308"/>
      <c r="J16" s="2309"/>
      <c r="K16" s="2309"/>
      <c r="L16" s="1761"/>
      <c r="Q16" s="1756"/>
      <c r="R16" s="1756"/>
      <c r="S16" s="1756"/>
      <c r="T16" s="1756"/>
      <c r="U16" s="1756"/>
      <c r="V16" s="1756"/>
      <c r="W16" s="1756"/>
      <c r="X16" s="1756"/>
    </row>
    <row r="17" spans="1:24" ht="40.5" customHeight="1" x14ac:dyDescent="0.25">
      <c r="A17" s="2332"/>
      <c r="B17" s="2306"/>
      <c r="C17" s="2306"/>
      <c r="D17" s="2306"/>
      <c r="E17" s="2057" t="s">
        <v>2019</v>
      </c>
      <c r="F17" s="2057" t="s">
        <v>2042</v>
      </c>
      <c r="G17" s="2057"/>
      <c r="H17" s="2315" t="s">
        <v>1990</v>
      </c>
      <c r="I17" s="2308"/>
      <c r="J17" s="2309"/>
      <c r="K17" s="2309"/>
      <c r="L17" s="1761"/>
      <c r="M17" s="2298" t="s">
        <v>2009</v>
      </c>
      <c r="N17" s="2298"/>
      <c r="O17" s="2298"/>
      <c r="Q17" s="1756"/>
      <c r="R17" s="1756"/>
      <c r="S17" s="1756"/>
      <c r="T17" s="1756"/>
      <c r="U17" s="1756"/>
      <c r="V17" s="1756"/>
      <c r="W17" s="1756"/>
      <c r="X17" s="1756"/>
    </row>
    <row r="18" spans="1:24" ht="75.75" customHeight="1" x14ac:dyDescent="0.25">
      <c r="A18" s="2332"/>
      <c r="B18" s="2306"/>
      <c r="C18" s="2306"/>
      <c r="D18" s="2306"/>
      <c r="E18" s="2057"/>
      <c r="F18" s="1580" t="s">
        <v>2039</v>
      </c>
      <c r="G18" s="1580" t="s">
        <v>2004</v>
      </c>
      <c r="H18" s="2315"/>
      <c r="I18" s="2308"/>
      <c r="J18" s="2309"/>
      <c r="K18" s="2309"/>
      <c r="L18" s="1761"/>
      <c r="M18" s="2305" t="str">
        <f>'Звіт 1,2,3'!U24</f>
        <v>з цільової благодійної допомоги в частині фінансування самим пацієнтом свого лікування (Дт 37 ЗБПц Кт 48 Пц)</v>
      </c>
      <c r="N18" s="1617" t="s">
        <v>2002</v>
      </c>
      <c r="O18" s="1617" t="s">
        <v>2003</v>
      </c>
      <c r="P18" s="1667" t="s">
        <v>1988</v>
      </c>
      <c r="Q18" s="1756"/>
      <c r="R18" s="1756"/>
      <c r="S18" s="1756"/>
      <c r="T18" s="1756"/>
      <c r="U18" s="1756"/>
      <c r="V18" s="1756"/>
      <c r="W18" s="1756"/>
      <c r="X18" s="1756"/>
    </row>
    <row r="19" spans="1:24" ht="17.25" customHeight="1" x14ac:dyDescent="0.25">
      <c r="A19" s="1585" t="s">
        <v>9</v>
      </c>
      <c r="B19" s="2306">
        <v>2</v>
      </c>
      <c r="C19" s="2306"/>
      <c r="D19" s="2306"/>
      <c r="E19" s="1593"/>
      <c r="F19" s="1583" t="s">
        <v>1887</v>
      </c>
      <c r="G19" s="1583" t="s">
        <v>1888</v>
      </c>
      <c r="H19" s="1586" t="s">
        <v>1889</v>
      </c>
      <c r="I19" s="1660" t="s">
        <v>1982</v>
      </c>
      <c r="J19" s="1583" t="s">
        <v>1890</v>
      </c>
      <c r="K19" s="1583">
        <v>16</v>
      </c>
      <c r="L19" s="1762"/>
      <c r="M19" s="2305"/>
      <c r="N19" s="2299">
        <f>'Звіт   9'!H46</f>
        <v>0</v>
      </c>
      <c r="O19" s="2299">
        <f>'Звіт   9'!K46</f>
        <v>0</v>
      </c>
      <c r="P19" s="2304">
        <f>N19+I20/1000-O19</f>
        <v>0</v>
      </c>
      <c r="Q19" s="1756"/>
      <c r="R19" s="1756"/>
      <c r="S19" s="1756"/>
      <c r="T19" s="1756"/>
      <c r="U19" s="1756"/>
      <c r="V19" s="1756"/>
      <c r="W19" s="1756"/>
      <c r="X19" s="1756"/>
    </row>
    <row r="20" spans="1:24" ht="19.5" thickBot="1" x14ac:dyDescent="0.3">
      <c r="A20" s="1601">
        <v>1</v>
      </c>
      <c r="B20" s="2307" t="s">
        <v>1994</v>
      </c>
      <c r="C20" s="2307"/>
      <c r="D20" s="2307"/>
      <c r="E20" s="1612">
        <f>F20+G20+H20+J20</f>
        <v>0</v>
      </c>
      <c r="F20" s="1666">
        <v>0</v>
      </c>
      <c r="G20" s="1666">
        <v>0</v>
      </c>
      <c r="H20" s="1602">
        <v>0</v>
      </c>
      <c r="I20" s="1661">
        <v>0</v>
      </c>
      <c r="J20" s="1581">
        <v>0</v>
      </c>
      <c r="K20" s="1557" t="str">
        <f>IF('Звіт   4,5,6'!E43=0,"Дані не введено",IF(ROUND((ROUND((I20/1000),1)+N19-O19),1)=ROUND((J20/1000),1),"ПРАВДА","ПОМИЛКА"))</f>
        <v>ПРАВДА</v>
      </c>
      <c r="L20" s="1763"/>
      <c r="M20" s="2305"/>
      <c r="N20" s="2299"/>
      <c r="O20" s="2299"/>
      <c r="P20" s="2304"/>
      <c r="Q20" s="1759"/>
      <c r="R20" s="1759"/>
      <c r="S20" s="1759"/>
      <c r="T20" s="1759"/>
      <c r="U20" s="1756"/>
      <c r="V20" s="1756"/>
      <c r="W20" s="1756"/>
      <c r="X20" s="1756"/>
    </row>
    <row r="21" spans="1:24" s="1600" customFormat="1" ht="15.75" x14ac:dyDescent="0.25">
      <c r="A21" s="1608"/>
      <c r="B21" s="1609"/>
      <c r="C21" s="1609"/>
      <c r="D21" s="1609"/>
      <c r="E21" s="1610"/>
      <c r="F21" s="1599"/>
      <c r="G21" s="1599"/>
      <c r="H21" s="1599"/>
      <c r="I21" s="1606"/>
      <c r="J21" s="1606"/>
      <c r="K21" s="1603"/>
      <c r="L21" s="1603"/>
      <c r="M21" s="1607"/>
      <c r="N21" s="1611"/>
      <c r="O21" s="1611"/>
      <c r="Q21" s="1759"/>
      <c r="R21" s="1759"/>
      <c r="S21" s="1759"/>
      <c r="T21" s="1759"/>
      <c r="U21" s="1759"/>
      <c r="V21" s="1759"/>
      <c r="W21" s="1759"/>
      <c r="X21" s="1759"/>
    </row>
    <row r="22" spans="1:24" s="1600" customFormat="1" ht="16.5" customHeight="1" thickBot="1" x14ac:dyDescent="0.3">
      <c r="A22" s="2310" t="s">
        <v>2072</v>
      </c>
      <c r="B22" s="2310"/>
      <c r="C22" s="2310"/>
      <c r="D22" s="2310"/>
      <c r="E22" s="2310"/>
      <c r="F22" s="1599"/>
      <c r="G22" s="1599"/>
      <c r="H22" s="1599"/>
      <c r="I22" s="1606"/>
      <c r="J22" s="1606"/>
      <c r="K22" s="1603"/>
      <c r="L22" s="1631" t="s">
        <v>2054</v>
      </c>
      <c r="M22" s="1631"/>
      <c r="N22" s="1631"/>
      <c r="O22" s="1631"/>
      <c r="P22" s="1765" t="s">
        <v>248</v>
      </c>
      <c r="Q22" s="1756"/>
      <c r="R22" s="1756"/>
      <c r="S22" s="1756"/>
      <c r="T22" s="1756"/>
      <c r="U22" s="1759"/>
      <c r="V22" s="1759"/>
      <c r="W22" s="1759"/>
      <c r="X22" s="1759"/>
    </row>
    <row r="23" spans="1:24" ht="99" customHeight="1" x14ac:dyDescent="0.25">
      <c r="A23" s="1677"/>
      <c r="B23" s="2312" t="s">
        <v>7</v>
      </c>
      <c r="C23" s="2313"/>
      <c r="D23" s="2314"/>
      <c r="E23" s="1664" t="s">
        <v>1997</v>
      </c>
      <c r="F23" s="1664" t="s">
        <v>2005</v>
      </c>
      <c r="G23" s="1664" t="str">
        <f>G18</f>
        <v>для розрахунку вартості медикаментів, які потрібно закупити</v>
      </c>
      <c r="H23" s="1665" t="str">
        <f>H17</f>
        <v>надходження від  пацієнта для свого лікування у натуральній формі - Пц</v>
      </c>
      <c r="I23" s="1663" t="s">
        <v>1996</v>
      </c>
      <c r="J23" s="1580" t="s">
        <v>2047</v>
      </c>
      <c r="K23" s="1668"/>
      <c r="L23" s="1375" t="s">
        <v>250</v>
      </c>
      <c r="M23" s="2186" t="s">
        <v>176</v>
      </c>
      <c r="N23" s="2186"/>
      <c r="O23" s="2186"/>
      <c r="P23" s="1580" t="s">
        <v>2008</v>
      </c>
      <c r="Q23" s="1756"/>
      <c r="R23" s="1756"/>
      <c r="S23" s="1756"/>
      <c r="T23" s="1756"/>
      <c r="U23" s="1756"/>
      <c r="V23" s="1756"/>
      <c r="W23" s="1756"/>
      <c r="X23" s="1756"/>
    </row>
    <row r="24" spans="1:24" ht="18.75" customHeight="1" x14ac:dyDescent="0.25">
      <c r="A24" s="1585" t="s">
        <v>9</v>
      </c>
      <c r="B24" s="2306">
        <v>2</v>
      </c>
      <c r="C24" s="2306"/>
      <c r="D24" s="2306"/>
      <c r="E24" s="1593" t="s">
        <v>2040</v>
      </c>
      <c r="F24" s="1583" t="s">
        <v>1887</v>
      </c>
      <c r="G24" s="1583" t="s">
        <v>1888</v>
      </c>
      <c r="H24" s="1586" t="s">
        <v>1889</v>
      </c>
      <c r="I24" s="1660" t="s">
        <v>2006</v>
      </c>
      <c r="J24" s="1583" t="s">
        <v>2007</v>
      </c>
      <c r="L24" s="1613">
        <v>1</v>
      </c>
      <c r="M24" s="2303">
        <v>2</v>
      </c>
      <c r="N24" s="2303"/>
      <c r="O24" s="2303"/>
      <c r="P24" s="1626" t="str">
        <f>'Звіт   4,5,6'!Q40</f>
        <v>16.2.</v>
      </c>
      <c r="Q24" s="1756"/>
      <c r="R24" s="1756"/>
      <c r="S24" s="1756"/>
      <c r="T24" s="1756"/>
      <c r="U24" s="1756"/>
      <c r="V24" s="1756"/>
      <c r="W24" s="1756"/>
      <c r="X24" s="1756"/>
    </row>
    <row r="25" spans="1:24" ht="15" customHeight="1" x14ac:dyDescent="0.25">
      <c r="A25" s="1678">
        <v>2</v>
      </c>
      <c r="B25" s="2334" t="s">
        <v>1991</v>
      </c>
      <c r="C25" s="2334"/>
      <c r="D25" s="2334"/>
      <c r="E25" s="1595">
        <f>F25+G25+H25</f>
        <v>0</v>
      </c>
      <c r="F25" s="1598">
        <f>SUM(F26+F36+F37+F38+F39+F40+F41+F42+F43)</f>
        <v>0</v>
      </c>
      <c r="G25" s="1598">
        <f>SUM(G26+G36+G37+G38+G39+G40+G41+G42+G43)</f>
        <v>0</v>
      </c>
      <c r="H25" s="1679">
        <f>SUM(H26+H36+H37+H38+H39+H40+H41+H42+H43)</f>
        <v>0</v>
      </c>
      <c r="I25" s="1675">
        <f>SUM(I26+I36+I37+I38+I39+I40+I41+I42+I43)</f>
        <v>0</v>
      </c>
      <c r="J25" s="1598">
        <f>SUM(J26+J36+J37+J38+J39+J40+J41+J42+J43)</f>
        <v>0</v>
      </c>
      <c r="L25" s="1615" t="s">
        <v>88</v>
      </c>
      <c r="M25" s="2311" t="s">
        <v>260</v>
      </c>
      <c r="N25" s="2311"/>
      <c r="O25" s="2311"/>
      <c r="P25" s="1595">
        <f>P26+P33+P34+P35+P36+P37+P38+P39+P40+P41+P42+P43</f>
        <v>0</v>
      </c>
      <c r="Q25" s="1756"/>
      <c r="R25" s="1756"/>
      <c r="S25" s="1756"/>
      <c r="T25" s="1756"/>
      <c r="U25" s="1756"/>
      <c r="V25" s="1756"/>
      <c r="W25" s="1756"/>
      <c r="X25" s="1756"/>
    </row>
    <row r="26" spans="1:24" ht="15" customHeight="1" x14ac:dyDescent="0.25">
      <c r="A26" s="1680" t="s">
        <v>56</v>
      </c>
      <c r="B26" s="2333" t="s">
        <v>188</v>
      </c>
      <c r="C26" s="2333"/>
      <c r="D26" s="2333"/>
      <c r="E26" s="1595">
        <f t="shared" ref="E26:E43" si="0">F26+G26+H26</f>
        <v>0</v>
      </c>
      <c r="F26" s="1598">
        <f>SUM(F27:F35)</f>
        <v>0</v>
      </c>
      <c r="G26" s="1598">
        <f>SUM(G27:G35)</f>
        <v>0</v>
      </c>
      <c r="H26" s="1679">
        <f>SUM(H27:H35)</f>
        <v>0</v>
      </c>
      <c r="I26" s="1675">
        <f>SUM(I27:I35)</f>
        <v>0</v>
      </c>
      <c r="J26" s="1598">
        <f>SUM(J27:J35)</f>
        <v>0</v>
      </c>
      <c r="L26" s="1614" t="s">
        <v>159</v>
      </c>
      <c r="M26" s="2293" t="s">
        <v>164</v>
      </c>
      <c r="N26" s="2293"/>
      <c r="O26" s="2293"/>
      <c r="P26" s="1595">
        <f>SUM(P27:P32)</f>
        <v>0</v>
      </c>
      <c r="Q26" s="1756"/>
      <c r="R26" s="1756"/>
      <c r="S26" s="1756"/>
      <c r="T26" s="1756"/>
      <c r="U26" s="1756"/>
      <c r="V26" s="1756"/>
      <c r="W26" s="1756"/>
      <c r="X26" s="1756"/>
    </row>
    <row r="27" spans="1:24" ht="18" customHeight="1" x14ac:dyDescent="0.25">
      <c r="A27" s="1681" t="s">
        <v>58</v>
      </c>
      <c r="B27" s="2293" t="s">
        <v>19</v>
      </c>
      <c r="C27" s="2293"/>
      <c r="D27" s="2293"/>
      <c r="E27" s="1595">
        <f t="shared" si="0"/>
        <v>0</v>
      </c>
      <c r="F27" s="1597">
        <f>I27+J27</f>
        <v>0</v>
      </c>
      <c r="G27" s="1594">
        <v>0</v>
      </c>
      <c r="H27" s="1682">
        <v>0</v>
      </c>
      <c r="I27" s="1676">
        <v>0</v>
      </c>
      <c r="J27" s="1594">
        <v>0</v>
      </c>
      <c r="L27" s="1614" t="s">
        <v>160</v>
      </c>
      <c r="M27" s="2293" t="s">
        <v>19</v>
      </c>
      <c r="N27" s="2293"/>
      <c r="O27" s="2293"/>
      <c r="P27" s="1594">
        <v>0</v>
      </c>
      <c r="Q27" s="1756"/>
      <c r="R27" s="1756"/>
      <c r="S27" s="1756"/>
      <c r="T27" s="1756"/>
      <c r="U27" s="1756"/>
      <c r="V27" s="1756"/>
      <c r="W27" s="1756"/>
      <c r="X27" s="1756"/>
    </row>
    <row r="28" spans="1:24" ht="12.75" customHeight="1" x14ac:dyDescent="0.25">
      <c r="A28" s="1683" t="s">
        <v>59</v>
      </c>
      <c r="B28" s="2293" t="s">
        <v>1113</v>
      </c>
      <c r="C28" s="2293"/>
      <c r="D28" s="2293"/>
      <c r="E28" s="1595">
        <f t="shared" si="0"/>
        <v>0</v>
      </c>
      <c r="F28" s="1597">
        <f t="shared" ref="F28:F43" si="1">I28+J28</f>
        <v>0</v>
      </c>
      <c r="G28" s="1594">
        <v>0</v>
      </c>
      <c r="H28" s="1682">
        <v>0</v>
      </c>
      <c r="I28" s="1676">
        <v>0</v>
      </c>
      <c r="J28" s="1594">
        <v>0</v>
      </c>
      <c r="L28" s="1614" t="s">
        <v>161</v>
      </c>
      <c r="M28" s="2293" t="s">
        <v>1113</v>
      </c>
      <c r="N28" s="2293"/>
      <c r="O28" s="2293"/>
      <c r="P28" s="1594">
        <v>0</v>
      </c>
      <c r="Q28" s="1756"/>
      <c r="R28" s="1756"/>
      <c r="S28" s="1756"/>
      <c r="T28" s="1756"/>
      <c r="U28" s="1756"/>
      <c r="V28" s="1756"/>
      <c r="W28" s="1756"/>
      <c r="X28" s="1756"/>
    </row>
    <row r="29" spans="1:24" ht="15.75" customHeight="1" x14ac:dyDescent="0.25">
      <c r="A29" s="1681" t="s">
        <v>60</v>
      </c>
      <c r="B29" s="2293" t="s">
        <v>91</v>
      </c>
      <c r="C29" s="2293"/>
      <c r="D29" s="2293"/>
      <c r="E29" s="1595">
        <f t="shared" si="0"/>
        <v>0</v>
      </c>
      <c r="F29" s="1597">
        <f t="shared" si="1"/>
        <v>0</v>
      </c>
      <c r="G29" s="1594">
        <v>0</v>
      </c>
      <c r="H29" s="1682">
        <v>0</v>
      </c>
      <c r="I29" s="1676">
        <v>0</v>
      </c>
      <c r="J29" s="1594">
        <v>0</v>
      </c>
      <c r="L29" s="1614" t="s">
        <v>162</v>
      </c>
      <c r="M29" s="2293" t="s">
        <v>2000</v>
      </c>
      <c r="N29" s="2293"/>
      <c r="O29" s="2293"/>
      <c r="P29" s="1594">
        <v>0</v>
      </c>
      <c r="Q29" s="1756"/>
      <c r="R29" s="1756"/>
      <c r="S29" s="1756"/>
      <c r="T29" s="1756"/>
      <c r="U29" s="1756"/>
      <c r="V29" s="1756"/>
      <c r="W29" s="1756"/>
      <c r="X29" s="1756"/>
    </row>
    <row r="30" spans="1:24" ht="15.75" customHeight="1" x14ac:dyDescent="0.25">
      <c r="A30" s="1681" t="s">
        <v>82</v>
      </c>
      <c r="B30" s="2293" t="s">
        <v>906</v>
      </c>
      <c r="C30" s="2293"/>
      <c r="D30" s="2293"/>
      <c r="E30" s="1595">
        <f t="shared" si="0"/>
        <v>0</v>
      </c>
      <c r="F30" s="1597">
        <f t="shared" si="1"/>
        <v>0</v>
      </c>
      <c r="G30" s="1594">
        <v>0</v>
      </c>
      <c r="H30" s="1682">
        <v>0</v>
      </c>
      <c r="I30" s="1676">
        <v>0</v>
      </c>
      <c r="J30" s="1594">
        <v>0</v>
      </c>
      <c r="L30" s="1614" t="s">
        <v>163</v>
      </c>
      <c r="M30" s="2293" t="s">
        <v>906</v>
      </c>
      <c r="N30" s="2293"/>
      <c r="O30" s="2293"/>
      <c r="P30" s="1594">
        <v>0</v>
      </c>
      <c r="Q30" s="1756"/>
      <c r="R30" s="1756"/>
      <c r="S30" s="1756"/>
      <c r="T30" s="1756"/>
      <c r="U30" s="1756"/>
      <c r="V30" s="1756"/>
      <c r="W30" s="1756"/>
      <c r="X30" s="1756"/>
    </row>
    <row r="31" spans="1:24" ht="15.75" customHeight="1" x14ac:dyDescent="0.25">
      <c r="A31" s="1681" t="s">
        <v>83</v>
      </c>
      <c r="B31" s="2293" t="s">
        <v>907</v>
      </c>
      <c r="C31" s="2293"/>
      <c r="D31" s="2293"/>
      <c r="E31" s="1595">
        <f t="shared" si="0"/>
        <v>0</v>
      </c>
      <c r="F31" s="1597">
        <f t="shared" si="1"/>
        <v>0</v>
      </c>
      <c r="G31" s="1594">
        <v>0</v>
      </c>
      <c r="H31" s="1682">
        <v>0</v>
      </c>
      <c r="I31" s="1676">
        <v>0</v>
      </c>
      <c r="J31" s="1594">
        <v>0</v>
      </c>
      <c r="L31" s="1614" t="s">
        <v>321</v>
      </c>
      <c r="M31" s="2293" t="s">
        <v>907</v>
      </c>
      <c r="N31" s="2293"/>
      <c r="O31" s="2293"/>
      <c r="P31" s="1594">
        <v>0</v>
      </c>
      <c r="Q31" s="1756"/>
      <c r="R31" s="1756"/>
      <c r="S31" s="1756"/>
      <c r="T31" s="1756"/>
      <c r="U31" s="1756"/>
      <c r="V31" s="1756"/>
      <c r="W31" s="1756"/>
      <c r="X31" s="1756"/>
    </row>
    <row r="32" spans="1:24" ht="15.75" customHeight="1" x14ac:dyDescent="0.25">
      <c r="A32" s="1681" t="s">
        <v>901</v>
      </c>
      <c r="B32" s="2293" t="s">
        <v>902</v>
      </c>
      <c r="C32" s="2293"/>
      <c r="D32" s="2293"/>
      <c r="E32" s="1595">
        <f t="shared" si="0"/>
        <v>0</v>
      </c>
      <c r="F32" s="1597">
        <f t="shared" si="1"/>
        <v>0</v>
      </c>
      <c r="G32" s="1594">
        <v>0</v>
      </c>
      <c r="H32" s="1682">
        <v>0</v>
      </c>
      <c r="I32" s="1676">
        <v>0</v>
      </c>
      <c r="J32" s="1594">
        <v>0</v>
      </c>
      <c r="L32" s="1614" t="s">
        <v>909</v>
      </c>
      <c r="M32" s="2293" t="s">
        <v>322</v>
      </c>
      <c r="N32" s="2293"/>
      <c r="O32" s="2293"/>
      <c r="P32" s="1594">
        <v>0</v>
      </c>
      <c r="Q32" s="1756"/>
      <c r="R32" s="1756"/>
      <c r="S32" s="1756"/>
      <c r="T32" s="1756"/>
      <c r="U32" s="1756"/>
      <c r="V32" s="1756"/>
      <c r="W32" s="1756"/>
      <c r="X32" s="1756"/>
    </row>
    <row r="33" spans="1:24" ht="15.75" customHeight="1" x14ac:dyDescent="0.25">
      <c r="A33" s="1681" t="s">
        <v>903</v>
      </c>
      <c r="B33" s="2293" t="s">
        <v>304</v>
      </c>
      <c r="C33" s="2293"/>
      <c r="D33" s="2293"/>
      <c r="E33" s="1595">
        <f t="shared" si="0"/>
        <v>0</v>
      </c>
      <c r="F33" s="1597">
        <f t="shared" si="1"/>
        <v>0</v>
      </c>
      <c r="G33" s="1594">
        <v>0</v>
      </c>
      <c r="H33" s="1682">
        <v>0</v>
      </c>
      <c r="I33" s="1676">
        <v>0</v>
      </c>
      <c r="J33" s="1594">
        <v>0</v>
      </c>
      <c r="L33" s="1614" t="s">
        <v>165</v>
      </c>
      <c r="M33" s="2293" t="s">
        <v>304</v>
      </c>
      <c r="N33" s="2293"/>
      <c r="O33" s="2293"/>
      <c r="P33" s="1594">
        <v>0</v>
      </c>
      <c r="Q33" s="1756"/>
      <c r="R33" s="1756"/>
      <c r="S33" s="1756"/>
      <c r="T33" s="1756"/>
      <c r="U33" s="1756"/>
      <c r="V33" s="1756"/>
      <c r="W33" s="1756"/>
      <c r="X33" s="1756"/>
    </row>
    <row r="34" spans="1:24" ht="15.75" customHeight="1" x14ac:dyDescent="0.25">
      <c r="A34" s="1681" t="s">
        <v>905</v>
      </c>
      <c r="B34" s="2293" t="s">
        <v>904</v>
      </c>
      <c r="C34" s="2293"/>
      <c r="D34" s="2293"/>
      <c r="E34" s="1595">
        <f t="shared" si="0"/>
        <v>0</v>
      </c>
      <c r="F34" s="1597">
        <f t="shared" si="1"/>
        <v>0</v>
      </c>
      <c r="G34" s="1594">
        <v>0</v>
      </c>
      <c r="H34" s="1682">
        <v>0</v>
      </c>
      <c r="I34" s="1676">
        <v>0</v>
      </c>
      <c r="J34" s="1594">
        <v>0</v>
      </c>
      <c r="L34" s="1614" t="s">
        <v>166</v>
      </c>
      <c r="M34" s="2293" t="s">
        <v>20</v>
      </c>
      <c r="N34" s="2293"/>
      <c r="O34" s="2293"/>
      <c r="P34" s="1594">
        <v>0</v>
      </c>
      <c r="Q34" s="1756"/>
      <c r="R34" s="1756"/>
      <c r="S34" s="1756"/>
      <c r="T34" s="1756"/>
      <c r="U34" s="1756"/>
      <c r="V34" s="1756"/>
      <c r="W34" s="1756"/>
      <c r="X34" s="1756"/>
    </row>
    <row r="35" spans="1:24" ht="15.75" customHeight="1" x14ac:dyDescent="0.25">
      <c r="A35" s="1681" t="s">
        <v>908</v>
      </c>
      <c r="B35" s="2293" t="s">
        <v>51</v>
      </c>
      <c r="C35" s="2293"/>
      <c r="D35" s="2293"/>
      <c r="E35" s="1595">
        <f t="shared" si="0"/>
        <v>0</v>
      </c>
      <c r="F35" s="1597">
        <f t="shared" si="1"/>
        <v>0</v>
      </c>
      <c r="G35" s="1594">
        <v>0</v>
      </c>
      <c r="H35" s="1682">
        <v>0</v>
      </c>
      <c r="I35" s="1676">
        <v>0</v>
      </c>
      <c r="J35" s="1594">
        <v>0</v>
      </c>
      <c r="L35" s="1614" t="s">
        <v>167</v>
      </c>
      <c r="M35" s="2293" t="s">
        <v>25</v>
      </c>
      <c r="N35" s="2293"/>
      <c r="O35" s="2293"/>
      <c r="P35" s="1594">
        <v>0</v>
      </c>
      <c r="Q35" s="1756"/>
      <c r="R35" s="1756"/>
      <c r="S35" s="1756"/>
      <c r="T35" s="1756"/>
      <c r="U35" s="1756"/>
      <c r="V35" s="1756"/>
      <c r="W35" s="1756"/>
      <c r="X35" s="1756"/>
    </row>
    <row r="36" spans="1:24" ht="15.75" customHeight="1" x14ac:dyDescent="0.25">
      <c r="A36" s="1680" t="s">
        <v>57</v>
      </c>
      <c r="B36" s="2293" t="s">
        <v>47</v>
      </c>
      <c r="C36" s="2293"/>
      <c r="D36" s="2293"/>
      <c r="E36" s="1595">
        <f t="shared" si="0"/>
        <v>0</v>
      </c>
      <c r="F36" s="1597">
        <f t="shared" si="1"/>
        <v>0</v>
      </c>
      <c r="G36" s="1594">
        <v>0</v>
      </c>
      <c r="H36" s="1682">
        <v>0</v>
      </c>
      <c r="I36" s="1676">
        <v>0</v>
      </c>
      <c r="J36" s="1594">
        <v>0</v>
      </c>
      <c r="L36" s="1614" t="s">
        <v>168</v>
      </c>
      <c r="M36" s="2293" t="s">
        <v>21</v>
      </c>
      <c r="N36" s="2293"/>
      <c r="O36" s="2293"/>
      <c r="P36" s="1594">
        <v>0</v>
      </c>
      <c r="Q36" s="1756"/>
      <c r="R36" s="1756"/>
      <c r="S36" s="1756"/>
      <c r="T36" s="1756"/>
      <c r="U36" s="1756"/>
      <c r="V36" s="1756"/>
      <c r="W36" s="1756"/>
      <c r="X36" s="1756"/>
    </row>
    <row r="37" spans="1:24" ht="15.75" customHeight="1" x14ac:dyDescent="0.25">
      <c r="A37" s="1680" t="s">
        <v>61</v>
      </c>
      <c r="B37" s="2293" t="s">
        <v>360</v>
      </c>
      <c r="C37" s="2293"/>
      <c r="D37" s="2293"/>
      <c r="E37" s="1595">
        <f t="shared" si="0"/>
        <v>0</v>
      </c>
      <c r="F37" s="1597">
        <f t="shared" si="1"/>
        <v>0</v>
      </c>
      <c r="G37" s="1594">
        <v>0</v>
      </c>
      <c r="H37" s="1682">
        <v>0</v>
      </c>
      <c r="I37" s="1676">
        <v>0</v>
      </c>
      <c r="J37" s="1594">
        <v>0</v>
      </c>
      <c r="L37" s="1614" t="s">
        <v>169</v>
      </c>
      <c r="M37" s="2293" t="s">
        <v>22</v>
      </c>
      <c r="N37" s="2293"/>
      <c r="O37" s="2293"/>
      <c r="P37" s="1594">
        <v>0</v>
      </c>
      <c r="Q37" s="1756"/>
      <c r="R37" s="1756"/>
      <c r="S37" s="1756"/>
      <c r="T37" s="1756"/>
      <c r="U37" s="1756"/>
      <c r="V37" s="1756"/>
      <c r="W37" s="1756"/>
      <c r="X37" s="1756"/>
    </row>
    <row r="38" spans="1:24" ht="15.75" customHeight="1" x14ac:dyDescent="0.25">
      <c r="A38" s="1680" t="s">
        <v>62</v>
      </c>
      <c r="B38" s="2293" t="s">
        <v>48</v>
      </c>
      <c r="C38" s="2293"/>
      <c r="D38" s="2293"/>
      <c r="E38" s="1595">
        <f t="shared" si="0"/>
        <v>0</v>
      </c>
      <c r="F38" s="1597">
        <f t="shared" si="1"/>
        <v>0</v>
      </c>
      <c r="G38" s="1594">
        <v>0</v>
      </c>
      <c r="H38" s="1682">
        <v>0</v>
      </c>
      <c r="I38" s="1676">
        <v>0</v>
      </c>
      <c r="J38" s="1594">
        <v>0</v>
      </c>
      <c r="L38" s="1614" t="s">
        <v>170</v>
      </c>
      <c r="M38" s="2293" t="s">
        <v>2001</v>
      </c>
      <c r="N38" s="2293"/>
      <c r="O38" s="2293"/>
      <c r="P38" s="1594">
        <v>0</v>
      </c>
      <c r="Q38" s="1756"/>
      <c r="R38" s="1756"/>
      <c r="S38" s="1756"/>
      <c r="T38" s="1756"/>
      <c r="U38" s="1756"/>
      <c r="V38" s="1756"/>
      <c r="W38" s="1756"/>
      <c r="X38" s="1756"/>
    </row>
    <row r="39" spans="1:24" ht="15.75" customHeight="1" x14ac:dyDescent="0.25">
      <c r="A39" s="1680" t="s">
        <v>63</v>
      </c>
      <c r="B39" s="2293" t="s">
        <v>21</v>
      </c>
      <c r="C39" s="2293"/>
      <c r="D39" s="2293"/>
      <c r="E39" s="1595">
        <f t="shared" si="0"/>
        <v>0</v>
      </c>
      <c r="F39" s="1597">
        <f t="shared" si="1"/>
        <v>0</v>
      </c>
      <c r="G39" s="1594">
        <v>0</v>
      </c>
      <c r="H39" s="1682">
        <v>0</v>
      </c>
      <c r="I39" s="1676">
        <v>0</v>
      </c>
      <c r="J39" s="1594">
        <v>0</v>
      </c>
      <c r="L39" s="1614" t="s">
        <v>171</v>
      </c>
      <c r="M39" s="2293" t="s">
        <v>23</v>
      </c>
      <c r="N39" s="2293"/>
      <c r="O39" s="2293"/>
      <c r="P39" s="1594">
        <v>0</v>
      </c>
      <c r="Q39" s="1756"/>
      <c r="R39" s="1756"/>
      <c r="S39" s="1756"/>
      <c r="T39" s="1756"/>
      <c r="U39" s="1756"/>
      <c r="V39" s="1756"/>
      <c r="W39" s="1756"/>
      <c r="X39" s="1756"/>
    </row>
    <row r="40" spans="1:24" ht="15.75" customHeight="1" x14ac:dyDescent="0.25">
      <c r="A40" s="1680" t="s">
        <v>64</v>
      </c>
      <c r="B40" s="2293" t="s">
        <v>49</v>
      </c>
      <c r="C40" s="2293"/>
      <c r="D40" s="2293"/>
      <c r="E40" s="1595">
        <f t="shared" si="0"/>
        <v>0</v>
      </c>
      <c r="F40" s="1597">
        <f t="shared" si="1"/>
        <v>0</v>
      </c>
      <c r="G40" s="1594">
        <v>0</v>
      </c>
      <c r="H40" s="1682">
        <v>0</v>
      </c>
      <c r="I40" s="1676">
        <v>0</v>
      </c>
      <c r="J40" s="1594">
        <v>0</v>
      </c>
      <c r="L40" s="1614" t="s">
        <v>910</v>
      </c>
      <c r="M40" s="2293" t="s">
        <v>24</v>
      </c>
      <c r="N40" s="2293"/>
      <c r="O40" s="2293"/>
      <c r="P40" s="1594">
        <v>0</v>
      </c>
      <c r="Q40" s="1756"/>
      <c r="R40" s="1756"/>
      <c r="S40" s="1756"/>
      <c r="T40" s="1756"/>
      <c r="U40" s="1756"/>
      <c r="V40" s="1756"/>
      <c r="W40" s="1756"/>
      <c r="X40" s="1756"/>
    </row>
    <row r="41" spans="1:24" ht="15.75" customHeight="1" x14ac:dyDescent="0.25">
      <c r="A41" s="1680" t="s">
        <v>65</v>
      </c>
      <c r="B41" s="2293" t="s">
        <v>50</v>
      </c>
      <c r="C41" s="2293"/>
      <c r="D41" s="2293"/>
      <c r="E41" s="1595">
        <f t="shared" si="0"/>
        <v>0</v>
      </c>
      <c r="F41" s="1597">
        <f t="shared" si="1"/>
        <v>0</v>
      </c>
      <c r="G41" s="1594">
        <v>0</v>
      </c>
      <c r="H41" s="1682">
        <v>0</v>
      </c>
      <c r="I41" s="1676">
        <v>0</v>
      </c>
      <c r="J41" s="1594">
        <v>0</v>
      </c>
      <c r="L41" s="1614" t="s">
        <v>173</v>
      </c>
      <c r="M41" s="2293" t="s">
        <v>42</v>
      </c>
      <c r="N41" s="2293"/>
      <c r="O41" s="2293"/>
      <c r="P41" s="1594">
        <v>0</v>
      </c>
      <c r="Q41" s="1756"/>
      <c r="R41" s="1756"/>
      <c r="S41" s="1756"/>
      <c r="T41" s="1756"/>
      <c r="U41" s="1756"/>
      <c r="V41" s="1756"/>
      <c r="W41" s="1756"/>
      <c r="X41" s="1756"/>
    </row>
    <row r="42" spans="1:24" ht="15.75" customHeight="1" x14ac:dyDescent="0.25">
      <c r="A42" s="1680" t="s">
        <v>66</v>
      </c>
      <c r="B42" s="2293" t="s">
        <v>323</v>
      </c>
      <c r="C42" s="2293"/>
      <c r="D42" s="2293"/>
      <c r="E42" s="1595">
        <f t="shared" si="0"/>
        <v>0</v>
      </c>
      <c r="F42" s="1597">
        <f t="shared" si="1"/>
        <v>0</v>
      </c>
      <c r="G42" s="1594">
        <v>0</v>
      </c>
      <c r="H42" s="1682">
        <v>0</v>
      </c>
      <c r="I42" s="1676">
        <v>0</v>
      </c>
      <c r="J42" s="1594">
        <v>0</v>
      </c>
      <c r="L42" s="1614" t="s">
        <v>286</v>
      </c>
      <c r="M42" s="2293" t="s">
        <v>244</v>
      </c>
      <c r="N42" s="2293"/>
      <c r="O42" s="2293"/>
      <c r="P42" s="1594">
        <v>0</v>
      </c>
      <c r="Q42" s="1756"/>
      <c r="R42" s="1756"/>
      <c r="S42" s="1756"/>
      <c r="T42" s="1756"/>
      <c r="U42" s="1756"/>
      <c r="V42" s="1756"/>
      <c r="W42" s="1756"/>
      <c r="X42" s="1756"/>
    </row>
    <row r="43" spans="1:24" ht="15.75" customHeight="1" thickBot="1" x14ac:dyDescent="0.3">
      <c r="A43" s="1684" t="s">
        <v>67</v>
      </c>
      <c r="B43" s="2295" t="s">
        <v>51</v>
      </c>
      <c r="C43" s="2295"/>
      <c r="D43" s="2295"/>
      <c r="E43" s="1612">
        <f t="shared" si="0"/>
        <v>0</v>
      </c>
      <c r="F43" s="1685">
        <f t="shared" si="1"/>
        <v>0</v>
      </c>
      <c r="G43" s="1666">
        <v>0</v>
      </c>
      <c r="H43" s="1602">
        <v>0</v>
      </c>
      <c r="I43" s="1676">
        <v>0</v>
      </c>
      <c r="J43" s="1594">
        <v>0</v>
      </c>
      <c r="L43" s="1614" t="s">
        <v>287</v>
      </c>
      <c r="M43" s="2293" t="s">
        <v>29</v>
      </c>
      <c r="N43" s="2293"/>
      <c r="O43" s="2293"/>
      <c r="P43" s="1594">
        <v>0</v>
      </c>
      <c r="Q43" s="1756"/>
      <c r="R43" s="1756"/>
      <c r="S43" s="1756"/>
      <c r="T43" s="1756"/>
      <c r="U43" s="1756"/>
      <c r="V43" s="1756"/>
      <c r="W43" s="1756"/>
      <c r="X43" s="1756"/>
    </row>
    <row r="44" spans="1:24" x14ac:dyDescent="0.25">
      <c r="I44" s="1756"/>
      <c r="J44" s="1756"/>
      <c r="K44" s="1756"/>
      <c r="L44" s="1757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</row>
    <row r="45" spans="1:24" x14ac:dyDescent="0.25">
      <c r="A45" s="1589" t="s">
        <v>2011</v>
      </c>
      <c r="I45" s="1756"/>
      <c r="J45" s="1756"/>
      <c r="K45" s="1756"/>
      <c r="L45" s="1757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</row>
    <row r="46" spans="1:24" x14ac:dyDescent="0.25">
      <c r="A46" s="1589"/>
      <c r="G46" s="1764" t="s">
        <v>248</v>
      </c>
      <c r="I46" s="1756"/>
      <c r="J46" s="1756"/>
      <c r="K46" s="1756"/>
      <c r="L46" s="1757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</row>
    <row r="47" spans="1:24" ht="35.25" customHeight="1" x14ac:dyDescent="0.25">
      <c r="A47" s="1588" t="s">
        <v>2012</v>
      </c>
      <c r="B47" s="2300" t="s">
        <v>2055</v>
      </c>
      <c r="C47" s="2300"/>
      <c r="D47" s="2300"/>
      <c r="E47" s="2300"/>
      <c r="F47" s="2300"/>
      <c r="G47" s="1594">
        <v>0</v>
      </c>
      <c r="H47" s="1628"/>
      <c r="I47" s="1756"/>
      <c r="J47" s="1756"/>
      <c r="K47" s="1756"/>
      <c r="L47" s="1757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</row>
    <row r="48" spans="1:24" ht="15.75" customHeight="1" x14ac:dyDescent="0.25">
      <c r="F48" s="1605"/>
      <c r="G48" s="1605"/>
      <c r="H48" s="1605"/>
      <c r="I48" s="1758"/>
      <c r="J48" s="1756"/>
      <c r="K48" s="1756"/>
      <c r="L48" s="1757"/>
      <c r="M48" s="1756"/>
      <c r="N48" s="1756"/>
      <c r="O48" s="1756"/>
      <c r="P48" s="1756"/>
      <c r="Q48" s="1756"/>
      <c r="R48" s="1756"/>
      <c r="S48" s="1756"/>
      <c r="T48" s="1756"/>
      <c r="U48" s="1756"/>
      <c r="V48" s="1756"/>
      <c r="W48" s="1756"/>
      <c r="X48" s="1756"/>
    </row>
    <row r="49" spans="1:24" x14ac:dyDescent="0.25">
      <c r="A49" s="1589" t="s">
        <v>2056</v>
      </c>
      <c r="I49" s="1756"/>
      <c r="J49" s="1756"/>
      <c r="K49" s="1756"/>
      <c r="L49" s="1757"/>
      <c r="M49" s="1756"/>
      <c r="N49" s="1756"/>
      <c r="O49" s="1756"/>
      <c r="P49" s="1756"/>
      <c r="Q49" s="1756"/>
      <c r="R49" s="1756"/>
      <c r="S49" s="1756"/>
      <c r="T49" s="1756"/>
      <c r="U49" s="1756"/>
      <c r="V49" s="1756"/>
      <c r="W49" s="1756"/>
      <c r="X49" s="1756"/>
    </row>
    <row r="50" spans="1:24" ht="78.75" customHeight="1" x14ac:dyDescent="0.25">
      <c r="A50" s="2301"/>
      <c r="B50" s="2301"/>
      <c r="C50" s="2301"/>
      <c r="D50" s="2301"/>
      <c r="E50" s="1632" t="s">
        <v>55</v>
      </c>
      <c r="F50" s="1633" t="s">
        <v>96</v>
      </c>
      <c r="G50" s="1634" t="s">
        <v>355</v>
      </c>
      <c r="H50" s="1634" t="s">
        <v>1391</v>
      </c>
      <c r="I50" s="1633" t="s">
        <v>1390</v>
      </c>
      <c r="J50" s="1633" t="s">
        <v>97</v>
      </c>
      <c r="K50" s="1634" t="s">
        <v>355</v>
      </c>
      <c r="L50" s="1633" t="s">
        <v>358</v>
      </c>
      <c r="M50" s="1639" t="s">
        <v>2045</v>
      </c>
      <c r="N50" s="2294" t="s">
        <v>2020</v>
      </c>
      <c r="O50" s="2294"/>
      <c r="P50" s="2294"/>
      <c r="Q50" s="1639" t="s">
        <v>2021</v>
      </c>
    </row>
    <row r="51" spans="1:24" ht="18.75" x14ac:dyDescent="0.3">
      <c r="A51" s="2297">
        <v>1</v>
      </c>
      <c r="B51" s="2297"/>
      <c r="C51" s="2297"/>
      <c r="D51" s="2297"/>
      <c r="E51" s="1635">
        <v>2</v>
      </c>
      <c r="F51" s="1635">
        <v>3</v>
      </c>
      <c r="G51" s="1636">
        <v>4</v>
      </c>
      <c r="H51" s="1636" t="s">
        <v>1389</v>
      </c>
      <c r="I51" s="1635">
        <v>5</v>
      </c>
      <c r="J51" s="1635">
        <v>6</v>
      </c>
      <c r="K51" s="1636">
        <v>7</v>
      </c>
      <c r="L51" s="1635">
        <v>8</v>
      </c>
      <c r="M51" s="1635">
        <v>9</v>
      </c>
      <c r="N51" s="2303"/>
      <c r="O51" s="2303"/>
      <c r="P51" s="2303"/>
      <c r="Q51" s="1576"/>
    </row>
    <row r="52" spans="1:24" ht="58.5" customHeight="1" x14ac:dyDescent="0.25">
      <c r="A52" s="2302" t="s">
        <v>2085</v>
      </c>
      <c r="B52" s="2302"/>
      <c r="C52" s="2302"/>
      <c r="D52" s="2302"/>
      <c r="E52" s="1588" t="str">
        <f>'Звіт   9'!D46</f>
        <v>1155.4</v>
      </c>
      <c r="F52" s="1637">
        <v>0</v>
      </c>
      <c r="G52" s="1637">
        <v>0</v>
      </c>
      <c r="H52" s="1638">
        <v>0</v>
      </c>
      <c r="I52" s="1638">
        <f>ROUND((F52+G52+H52),1)</f>
        <v>0</v>
      </c>
      <c r="J52" s="1637">
        <v>0</v>
      </c>
      <c r="K52" s="1638">
        <v>0</v>
      </c>
      <c r="L52" s="1638">
        <f>ROUND((J52+K52),1)</f>
        <v>0</v>
      </c>
      <c r="M52" s="1638">
        <f>ROUND((I52+(F25+G25)/1000-(F20+G20+J20)/1000),1)</f>
        <v>0</v>
      </c>
      <c r="N52" s="2294" t="s">
        <v>2046</v>
      </c>
      <c r="O52" s="2294"/>
      <c r="P52" s="2294"/>
      <c r="Q52" s="1640" t="str">
        <f>IF('Звіт   4,5,6'!E43=0,"Дані не введено",IF(L52=M52,"ПРАВДА","ПОМИЛКА"))</f>
        <v>ПРАВДА</v>
      </c>
    </row>
    <row r="53" spans="1:24" s="1575" customFormat="1" ht="36.75" customHeight="1" x14ac:dyDescent="0.25">
      <c r="A53" s="2296" t="s">
        <v>2014</v>
      </c>
      <c r="B53" s="2296"/>
      <c r="C53" s="2296"/>
      <c r="D53" s="2296"/>
      <c r="E53" s="1588" t="str">
        <f>'Звіт   9'!D76</f>
        <v>1525.1.2.</v>
      </c>
      <c r="F53" s="1637">
        <v>0</v>
      </c>
      <c r="G53" s="1637">
        <v>0</v>
      </c>
      <c r="H53" s="1638">
        <v>0</v>
      </c>
      <c r="I53" s="1638">
        <f>ROUND((F53+G53+H53),1)</f>
        <v>0</v>
      </c>
      <c r="J53" s="1637">
        <v>0</v>
      </c>
      <c r="K53" s="1638">
        <v>0</v>
      </c>
      <c r="L53" s="1638">
        <f>ROUND((J53+K53),1)</f>
        <v>0</v>
      </c>
      <c r="M53" s="1638">
        <f>ROUND(((I53+(E25)/1000-P25/1000-G47/1000)),1)</f>
        <v>0</v>
      </c>
      <c r="N53" s="2294" t="s">
        <v>2041</v>
      </c>
      <c r="O53" s="2294"/>
      <c r="P53" s="2294"/>
      <c r="Q53" s="1640" t="str">
        <f>IF('Звіт   4,5,6'!E43=0,"Дані не введено",IF(L53=M53,"ПРАВДА","ПОМИЛКА"))</f>
        <v>ПРАВДА</v>
      </c>
    </row>
    <row r="54" spans="1:24" ht="19.5" customHeight="1" x14ac:dyDescent="0.25"/>
  </sheetData>
  <sheetProtection password="F86B" sheet="1"/>
  <mergeCells count="76">
    <mergeCell ref="B32:D32"/>
    <mergeCell ref="B28:D28"/>
    <mergeCell ref="F1:G1"/>
    <mergeCell ref="G11:K11"/>
    <mergeCell ref="B33:D33"/>
    <mergeCell ref="A3:K3"/>
    <mergeCell ref="A5:K5"/>
    <mergeCell ref="A15:A18"/>
    <mergeCell ref="B24:D24"/>
    <mergeCell ref="F17:G17"/>
    <mergeCell ref="B26:D26"/>
    <mergeCell ref="A10:J10"/>
    <mergeCell ref="A8:J8"/>
    <mergeCell ref="A9:J9"/>
    <mergeCell ref="A13:E13"/>
    <mergeCell ref="B27:D27"/>
    <mergeCell ref="B15:D18"/>
    <mergeCell ref="E15:H16"/>
    <mergeCell ref="B25:D25"/>
    <mergeCell ref="B40:D40"/>
    <mergeCell ref="B36:D36"/>
    <mergeCell ref="B37:D37"/>
    <mergeCell ref="B23:D23"/>
    <mergeCell ref="B38:D38"/>
    <mergeCell ref="H17:H18"/>
    <mergeCell ref="B39:D39"/>
    <mergeCell ref="B34:D34"/>
    <mergeCell ref="B35:D35"/>
    <mergeCell ref="B31:D31"/>
    <mergeCell ref="M29:O29"/>
    <mergeCell ref="M28:O28"/>
    <mergeCell ref="M30:O30"/>
    <mergeCell ref="M31:O31"/>
    <mergeCell ref="A22:E22"/>
    <mergeCell ref="B29:D29"/>
    <mergeCell ref="B30:D30"/>
    <mergeCell ref="M23:O23"/>
    <mergeCell ref="M24:O24"/>
    <mergeCell ref="M25:O25"/>
    <mergeCell ref="P19:P20"/>
    <mergeCell ref="M18:M20"/>
    <mergeCell ref="B19:D19"/>
    <mergeCell ref="B20:D20"/>
    <mergeCell ref="E17:E18"/>
    <mergeCell ref="M27:O27"/>
    <mergeCell ref="I15:I18"/>
    <mergeCell ref="J15:J18"/>
    <mergeCell ref="K15:K18"/>
    <mergeCell ref="M26:O26"/>
    <mergeCell ref="M17:O17"/>
    <mergeCell ref="N19:N20"/>
    <mergeCell ref="O19:O20"/>
    <mergeCell ref="B47:F47"/>
    <mergeCell ref="A50:D50"/>
    <mergeCell ref="A52:D52"/>
    <mergeCell ref="M38:O38"/>
    <mergeCell ref="M39:O39"/>
    <mergeCell ref="N51:P51"/>
    <mergeCell ref="M40:O40"/>
    <mergeCell ref="N53:P53"/>
    <mergeCell ref="B41:D41"/>
    <mergeCell ref="B42:D42"/>
    <mergeCell ref="B43:D43"/>
    <mergeCell ref="A53:D53"/>
    <mergeCell ref="A51:D51"/>
    <mergeCell ref="M42:O42"/>
    <mergeCell ref="M43:O43"/>
    <mergeCell ref="N50:P50"/>
    <mergeCell ref="N52:P52"/>
    <mergeCell ref="M41:O41"/>
    <mergeCell ref="M32:O32"/>
    <mergeCell ref="M33:O33"/>
    <mergeCell ref="M34:O34"/>
    <mergeCell ref="M35:O35"/>
    <mergeCell ref="M36:O36"/>
    <mergeCell ref="M37:O37"/>
  </mergeCells>
  <conditionalFormatting sqref="F20:G22">
    <cfRule type="cellIs" dxfId="247" priority="68" operator="lessThan">
      <formula>0</formula>
    </cfRule>
  </conditionalFormatting>
  <conditionalFormatting sqref="H20:H22">
    <cfRule type="cellIs" dxfId="246" priority="62" operator="lessThan">
      <formula>0</formula>
    </cfRule>
  </conditionalFormatting>
  <conditionalFormatting sqref="K21:L21 L20 K22">
    <cfRule type="cellIs" dxfId="245" priority="61" operator="lessThan">
      <formula>0</formula>
    </cfRule>
  </conditionalFormatting>
  <conditionalFormatting sqref="I20:I22">
    <cfRule type="cellIs" dxfId="244" priority="60" operator="lessThan">
      <formula>0</formula>
    </cfRule>
  </conditionalFormatting>
  <conditionalFormatting sqref="J20:J22">
    <cfRule type="cellIs" dxfId="243" priority="59" operator="lessThan">
      <formula>0</formula>
    </cfRule>
  </conditionalFormatting>
  <conditionalFormatting sqref="E20:E21">
    <cfRule type="cellIs" dxfId="242" priority="40" operator="lessThan">
      <formula>0</formula>
    </cfRule>
  </conditionalFormatting>
  <conditionalFormatting sqref="E25:E43">
    <cfRule type="cellIs" dxfId="241" priority="39" operator="lessThan">
      <formula>0</formula>
    </cfRule>
  </conditionalFormatting>
  <conditionalFormatting sqref="F25:H26">
    <cfRule type="cellIs" dxfId="240" priority="38" operator="lessThan">
      <formula>0</formula>
    </cfRule>
  </conditionalFormatting>
  <conditionalFormatting sqref="F27:H43">
    <cfRule type="cellIs" dxfId="239" priority="37" operator="lessThan">
      <formula>0</formula>
    </cfRule>
  </conditionalFormatting>
  <conditionalFormatting sqref="I25:I26">
    <cfRule type="cellIs" dxfId="238" priority="36" operator="lessThan">
      <formula>0</formula>
    </cfRule>
  </conditionalFormatting>
  <conditionalFormatting sqref="J25:J26">
    <cfRule type="cellIs" dxfId="237" priority="35" operator="lessThan">
      <formula>0</formula>
    </cfRule>
  </conditionalFormatting>
  <conditionalFormatting sqref="I27:J27">
    <cfRule type="cellIs" dxfId="236" priority="34" operator="lessThan">
      <formula>0</formula>
    </cfRule>
  </conditionalFormatting>
  <conditionalFormatting sqref="I28:J43">
    <cfRule type="cellIs" dxfId="235" priority="33" operator="lessThan">
      <formula>0</formula>
    </cfRule>
  </conditionalFormatting>
  <conditionalFormatting sqref="P27:P41">
    <cfRule type="cellIs" dxfId="234" priority="26" operator="lessThan">
      <formula>0</formula>
    </cfRule>
  </conditionalFormatting>
  <conditionalFormatting sqref="P42:P43">
    <cfRule type="cellIs" dxfId="233" priority="25" operator="lessThan">
      <formula>0</formula>
    </cfRule>
  </conditionalFormatting>
  <conditionalFormatting sqref="P25:P26">
    <cfRule type="cellIs" dxfId="232" priority="23" operator="lessThan">
      <formula>0</formula>
    </cfRule>
  </conditionalFormatting>
  <conditionalFormatting sqref="K20">
    <cfRule type="containsText" dxfId="231" priority="19" stopIfTrue="1" operator="containsText" text="ПОМИЛКА">
      <formula>NOT(ISERROR(SEARCH("ПОМИЛКА",K20)))</formula>
    </cfRule>
    <cfRule type="containsText" dxfId="230" priority="20" stopIfTrue="1" operator="containsText" text="Увага">
      <formula>NOT(ISERROR(SEARCH("Увага",K20)))</formula>
    </cfRule>
    <cfRule type="containsText" dxfId="229" priority="21" stopIfTrue="1" operator="containsText" text="ПРАВДА">
      <formula>NOT(ISERROR(SEARCH("ПРАВДА",K20)))</formula>
    </cfRule>
  </conditionalFormatting>
  <conditionalFormatting sqref="G47">
    <cfRule type="cellIs" dxfId="228" priority="18" operator="lessThan">
      <formula>0</formula>
    </cfRule>
  </conditionalFormatting>
  <conditionalFormatting sqref="F52:G53">
    <cfRule type="cellIs" dxfId="227" priority="17" operator="lessThan">
      <formula>0</formula>
    </cfRule>
  </conditionalFormatting>
  <conditionalFormatting sqref="J52:J53">
    <cfRule type="cellIs" dxfId="226" priority="16" operator="lessThan">
      <formula>0</formula>
    </cfRule>
  </conditionalFormatting>
  <conditionalFormatting sqref="I52:I53">
    <cfRule type="cellIs" dxfId="225" priority="14" operator="lessThan">
      <formula>0</formula>
    </cfRule>
  </conditionalFormatting>
  <conditionalFormatting sqref="L52:L53">
    <cfRule type="cellIs" dxfId="224" priority="13" operator="lessThan">
      <formula>0</formula>
    </cfRule>
  </conditionalFormatting>
  <conditionalFormatting sqref="M52:M53">
    <cfRule type="cellIs" dxfId="223" priority="12" operator="lessThan">
      <formula>0</formula>
    </cfRule>
  </conditionalFormatting>
  <conditionalFormatting sqref="Q52">
    <cfRule type="containsText" dxfId="222" priority="9" stopIfTrue="1" operator="containsText" text="ПОМИЛКА">
      <formula>NOT(ISERROR(SEARCH("ПОМИЛКА",Q52)))</formula>
    </cfRule>
    <cfRule type="containsText" dxfId="221" priority="10" stopIfTrue="1" operator="containsText" text="Увага">
      <formula>NOT(ISERROR(SEARCH("Увага",Q52)))</formula>
    </cfRule>
    <cfRule type="containsText" dxfId="220" priority="11" stopIfTrue="1" operator="containsText" text="ПРАВДА">
      <formula>NOT(ISERROR(SEARCH("ПРАВДА",Q52)))</formula>
    </cfRule>
  </conditionalFormatting>
  <conditionalFormatting sqref="Q53">
    <cfRule type="containsText" dxfId="219" priority="6" stopIfTrue="1" operator="containsText" text="ПОМИЛКА">
      <formula>NOT(ISERROR(SEARCH("ПОМИЛКА",Q53)))</formula>
    </cfRule>
    <cfRule type="containsText" dxfId="218" priority="7" stopIfTrue="1" operator="containsText" text="Увага">
      <formula>NOT(ISERROR(SEARCH("Увага",Q53)))</formula>
    </cfRule>
    <cfRule type="containsText" dxfId="217" priority="8" stopIfTrue="1" operator="containsText" text="ПРАВДА">
      <formula>NOT(ISERROR(SEARCH("ПРАВДА",Q53)))</formula>
    </cfRule>
  </conditionalFormatting>
  <conditionalFormatting sqref="L10">
    <cfRule type="containsText" dxfId="216" priority="3" stopIfTrue="1" operator="containsText" text="ПОМИЛКА">
      <formula>NOT(ISERROR(SEARCH("ПОМИЛКА",L10)))</formula>
    </cfRule>
    <cfRule type="containsText" dxfId="215" priority="4" stopIfTrue="1" operator="containsText" text="Увага">
      <formula>NOT(ISERROR(SEARCH("Увага",L10)))</formula>
    </cfRule>
    <cfRule type="containsText" dxfId="214" priority="5" stopIfTrue="1" operator="containsText" text="ПРАВДА">
      <formula>NOT(ISERROR(SEARCH("ПРАВДА",L10)))</formula>
    </cfRule>
  </conditionalFormatting>
  <conditionalFormatting sqref="H52:H53">
    <cfRule type="cellIs" dxfId="213" priority="2" operator="lessThan">
      <formula>0</formula>
    </cfRule>
  </conditionalFormatting>
  <conditionalFormatting sqref="K52:K53">
    <cfRule type="cellIs" dxfId="212" priority="1" operator="lessThan">
      <formula>0</formula>
    </cfRule>
  </conditionalFormatting>
  <dataValidations count="3">
    <dataValidation type="decimal" operator="greaterThanOrEqual" allowBlank="1" showInputMessage="1" showErrorMessage="1" error="Будь ласка, вкажіть додатнє число." sqref="I65517:L65517">
      <formula1>0</formula1>
    </dataValidation>
    <dataValidation type="decimal" operator="greaterThanOrEqual" allowBlank="1" showInputMessage="1" showErrorMessage="1" sqref="I65518:L65519">
      <formula1>0</formula1>
    </dataValidation>
    <dataValidation type="decimal" showInputMessage="1" showErrorMessage="1" error="Внесіть, будь ласка, число." sqref="G65500:H65509">
      <formula1>-1000000000000</formula1>
      <formula2>1000000000000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8">
    <tabColor rgb="FFFFFF00"/>
  </sheetPr>
  <dimension ref="A1:BS124"/>
  <sheetViews>
    <sheetView showGridLines="0" topLeftCell="A22" zoomScale="50" zoomScaleNormal="50" zoomScalePageLayoutView="50" workbookViewId="0">
      <selection activeCell="AF27" sqref="AF27"/>
    </sheetView>
  </sheetViews>
  <sheetFormatPr defaultColWidth="8.7109375" defaultRowHeight="18.75" x14ac:dyDescent="0.25"/>
  <cols>
    <col min="1" max="1" width="13.7109375" style="2" customWidth="1"/>
    <col min="2" max="2" width="19.7109375" style="2" customWidth="1"/>
    <col min="3" max="3" width="6.5703125" style="58" customWidth="1"/>
    <col min="4" max="4" width="20.5703125" style="58" customWidth="1"/>
    <col min="5" max="5" width="35.28515625" style="58" customWidth="1"/>
    <col min="6" max="6" width="22.7109375" style="4" customWidth="1"/>
    <col min="7" max="7" width="20.7109375" style="4" customWidth="1"/>
    <col min="8" max="8" width="18.7109375" style="4" customWidth="1"/>
    <col min="9" max="9" width="27.7109375" style="4" customWidth="1"/>
    <col min="10" max="10" width="25" style="4" customWidth="1"/>
    <col min="11" max="11" width="25.5703125" style="4" customWidth="1"/>
    <col min="12" max="12" width="22.7109375" style="4" customWidth="1"/>
    <col min="13" max="13" width="30" style="4" customWidth="1"/>
    <col min="14" max="14" width="22" style="134" customWidth="1"/>
    <col min="15" max="15" width="33.5703125" style="4" customWidth="1"/>
    <col min="16" max="16" width="34.28515625" style="4" customWidth="1"/>
    <col min="17" max="17" width="27.7109375" style="4" customWidth="1"/>
    <col min="18" max="18" width="21.28515625" style="47" customWidth="1"/>
    <col min="19" max="19" width="18.28515625" style="47" customWidth="1"/>
    <col min="20" max="20" width="22.7109375" style="47" customWidth="1"/>
    <col min="21" max="21" width="14.7109375" style="47" customWidth="1"/>
    <col min="22" max="22" width="23.28515625" style="47" customWidth="1"/>
    <col min="23" max="23" width="18.42578125" style="47" customWidth="1"/>
    <col min="24" max="24" width="23.42578125" style="47" customWidth="1"/>
    <col min="25" max="25" width="21" style="47" customWidth="1"/>
    <col min="26" max="26" width="24.7109375" style="47" customWidth="1"/>
    <col min="27" max="27" width="26.28515625" style="47" customWidth="1"/>
    <col min="28" max="28" width="18.5703125" style="47" customWidth="1"/>
    <col min="29" max="29" width="24.7109375" style="47" customWidth="1"/>
    <col min="30" max="30" width="27.7109375" style="76" customWidth="1"/>
    <col min="31" max="31" width="28.7109375" style="76" customWidth="1"/>
    <col min="32" max="32" width="24.7109375" style="76" customWidth="1"/>
    <col min="33" max="33" width="24" style="76" customWidth="1"/>
    <col min="34" max="34" width="26.28515625" style="76" customWidth="1"/>
    <col min="35" max="35" width="38.28515625" style="76" customWidth="1"/>
    <col min="36" max="36" width="41.5703125" style="76" customWidth="1"/>
    <col min="37" max="37" width="35.5703125" style="76" customWidth="1"/>
    <col min="38" max="38" width="43.7109375" style="76" customWidth="1"/>
    <col min="39" max="39" width="39" style="76" customWidth="1"/>
    <col min="40" max="40" width="34.28515625" style="76" customWidth="1"/>
    <col min="41" max="41" width="33.28515625" style="76" customWidth="1"/>
    <col min="42" max="42" width="39.5703125" style="76" customWidth="1"/>
    <col min="43" max="43" width="34.5703125" style="76" customWidth="1"/>
    <col min="44" max="44" width="32.42578125" style="76" customWidth="1"/>
    <col min="45" max="59" width="8.7109375" style="76" customWidth="1"/>
    <col min="60" max="16384" width="8.7109375" style="2"/>
  </cols>
  <sheetData>
    <row r="1" spans="1:62" ht="27" customHeight="1" x14ac:dyDescent="0.3">
      <c r="B1" s="2126" t="s">
        <v>0</v>
      </c>
      <c r="C1" s="2126"/>
      <c r="D1" s="2126"/>
      <c r="E1" s="71" t="str">
        <f>'Звіт 1,2,3'!D1</f>
        <v>02006707</v>
      </c>
      <c r="F1" s="59" t="s">
        <v>1</v>
      </c>
      <c r="G1" s="71">
        <f>'Звіт 1,2,3'!H1</f>
        <v>430</v>
      </c>
      <c r="H1" s="58"/>
      <c r="I1" s="1"/>
      <c r="J1" s="1"/>
      <c r="K1" s="1"/>
      <c r="L1" s="1"/>
      <c r="M1" s="1"/>
      <c r="N1" s="10"/>
      <c r="O1" s="1"/>
      <c r="P1" s="1"/>
      <c r="R1" s="2542" t="s">
        <v>3</v>
      </c>
      <c r="S1" s="2542"/>
      <c r="T1" s="2542"/>
      <c r="U1" s="249"/>
      <c r="V1" s="137"/>
      <c r="W1" s="137"/>
      <c r="X1" s="137"/>
      <c r="Y1" s="137"/>
      <c r="Z1" s="137"/>
      <c r="AA1" s="175"/>
      <c r="AB1" s="175"/>
      <c r="AC1" s="175"/>
      <c r="AF1" s="77"/>
      <c r="AG1" s="77"/>
      <c r="AH1" s="77"/>
      <c r="AI1" s="77"/>
    </row>
    <row r="2" spans="1:62" ht="22.35" customHeight="1" x14ac:dyDescent="0.3">
      <c r="B2" s="22"/>
      <c r="C2" s="1"/>
      <c r="D2" s="2"/>
      <c r="F2" s="58"/>
      <c r="G2" s="58"/>
      <c r="H2" s="58"/>
      <c r="I2" s="58"/>
      <c r="J2" s="58"/>
      <c r="K2" s="58"/>
      <c r="L2" s="58"/>
      <c r="M2" s="58"/>
      <c r="N2" s="66"/>
      <c r="O2" s="58"/>
      <c r="P2" s="58"/>
      <c r="Q2" s="58"/>
      <c r="R2" s="2543" t="s">
        <v>282</v>
      </c>
      <c r="S2" s="2543"/>
      <c r="T2" s="2543"/>
      <c r="U2" s="66"/>
      <c r="V2" s="138"/>
      <c r="W2" s="138"/>
      <c r="X2" s="138"/>
      <c r="Y2" s="138"/>
      <c r="Z2" s="138"/>
      <c r="AA2" s="175"/>
      <c r="AB2" s="175"/>
      <c r="AC2" s="175"/>
      <c r="AF2" s="77"/>
      <c r="AG2" s="77"/>
      <c r="AH2" s="77"/>
      <c r="AI2" s="77"/>
    </row>
    <row r="3" spans="1:62" ht="32.65" customHeight="1" x14ac:dyDescent="0.25">
      <c r="B3" s="2016" t="str">
        <f>'Звіт 1,2,3'!A3</f>
        <v>ЗВІТ ПРО ДОХОДИ ТА ВИТРАТИ за 1 півріччя  2021 року</v>
      </c>
      <c r="C3" s="2016"/>
      <c r="D3" s="2016"/>
      <c r="E3" s="2016"/>
      <c r="F3" s="2016"/>
      <c r="G3" s="2016"/>
      <c r="H3" s="2016"/>
      <c r="I3" s="2016"/>
      <c r="J3" s="2016"/>
      <c r="K3" s="2016"/>
      <c r="L3" s="2016"/>
      <c r="M3" s="2016"/>
      <c r="N3" s="2016"/>
      <c r="O3" s="2016"/>
      <c r="P3" s="2016"/>
      <c r="Q3" s="2016"/>
      <c r="R3" s="2016"/>
      <c r="S3" s="2016"/>
      <c r="T3" s="2016"/>
      <c r="U3" s="248"/>
      <c r="V3" s="17"/>
      <c r="W3" s="17"/>
      <c r="X3" s="17"/>
      <c r="Y3" s="17"/>
      <c r="Z3" s="17"/>
      <c r="AA3" s="17"/>
      <c r="AB3" s="17"/>
      <c r="AC3" s="17"/>
      <c r="AD3" s="78"/>
      <c r="AE3" s="78"/>
      <c r="AF3" s="77"/>
      <c r="AG3" s="77"/>
      <c r="AI3" s="77"/>
    </row>
    <row r="4" spans="1:62" ht="32.65" customHeight="1" x14ac:dyDescent="0.25">
      <c r="A4" s="198"/>
      <c r="B4" s="160" t="s">
        <v>418</v>
      </c>
      <c r="C4" s="160"/>
      <c r="D4" s="160"/>
      <c r="E4" s="160"/>
      <c r="F4" s="160"/>
      <c r="G4" s="160"/>
      <c r="H4" s="401"/>
      <c r="I4" s="160"/>
      <c r="J4" s="401"/>
      <c r="K4" s="160"/>
      <c r="L4" s="160"/>
      <c r="M4" s="160"/>
      <c r="N4" s="160"/>
      <c r="O4" s="160"/>
      <c r="P4" s="160"/>
      <c r="Q4" s="160"/>
      <c r="R4" s="160"/>
      <c r="S4" s="248"/>
      <c r="T4" s="160"/>
      <c r="U4" s="248"/>
      <c r="V4" s="17"/>
      <c r="W4" s="17"/>
      <c r="X4" s="17"/>
      <c r="Y4" s="17"/>
      <c r="Z4" s="17"/>
      <c r="AA4" s="17"/>
      <c r="AB4" s="17"/>
      <c r="AC4" s="17"/>
      <c r="AD4" s="78"/>
      <c r="AE4" s="78"/>
      <c r="AF4" s="77"/>
      <c r="AG4" s="77"/>
      <c r="AH4" s="77"/>
      <c r="AI4" s="77"/>
    </row>
    <row r="5" spans="1:62" ht="27.6" customHeight="1" x14ac:dyDescent="0.25">
      <c r="A5" s="2555" t="s">
        <v>449</v>
      </c>
      <c r="B5" s="2555"/>
      <c r="C5" s="2555"/>
      <c r="D5" s="2555"/>
      <c r="E5" s="2555"/>
      <c r="F5" s="2555"/>
      <c r="G5" s="2555"/>
      <c r="H5" s="2555"/>
      <c r="I5" s="2555"/>
      <c r="J5" s="2555"/>
      <c r="K5" s="2555"/>
      <c r="L5" s="2555"/>
      <c r="M5" s="2555"/>
      <c r="N5" s="66"/>
      <c r="O5" s="58"/>
      <c r="P5" s="58"/>
      <c r="Q5" s="58"/>
      <c r="R5" s="47">
        <f>ROUND((('Звіт 10, 11,12,13,14'!R12+'Звіт 10, 11,12,13,14'!R15+'Звіт 10, 11,12,13,14'!R22+'Звіт 10, 11,12,13,14'!R25)/1000),1)</f>
        <v>407.6</v>
      </c>
      <c r="AH5" s="196" t="s">
        <v>248</v>
      </c>
    </row>
    <row r="6" spans="1:62" ht="20.65" customHeight="1" thickBot="1" x14ac:dyDescent="0.3">
      <c r="B6" s="14"/>
      <c r="C6" s="7"/>
      <c r="D6" s="7"/>
      <c r="E6" s="7"/>
      <c r="F6" s="250"/>
      <c r="G6" s="250"/>
      <c r="H6" s="250"/>
      <c r="I6" s="250"/>
      <c r="J6" s="250"/>
      <c r="K6" s="250"/>
      <c r="L6" s="1005">
        <f>('Звіт 10, 11,12,13,14'!L11-'Звіт 10, 11,12,13,14'!L12+'Звіт 10, 11,12,13,14'!L17+'Звіт 10, 11,12,13,14'!L21-'Звіт 10, 11,12,13,14'!L22+'Звіт 10, 11,12,13,14'!L27)/1000</f>
        <v>1582.41</v>
      </c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1005">
        <f>('Звіт 10, 11,12,13,14'!AH11-'Звіт 10, 11,12,13,14'!AH12+'Звіт 10, 11,12,13,14'!AH17+'Звіт 10, 11,12,13,14'!AH21-'Звіт 10, 11,12,13,14'!AH22+'Звіт 10, 11,12,13,14'!AH27-'Звіт 10, 11,12,13,14'!Y22)/1000</f>
        <v>1819.67</v>
      </c>
      <c r="AI6" s="80"/>
    </row>
    <row r="7" spans="1:62" s="9" customFormat="1" ht="67.150000000000006" customHeight="1" x14ac:dyDescent="0.25">
      <c r="A7" s="2553" t="s">
        <v>37</v>
      </c>
      <c r="B7" s="2527" t="s">
        <v>412</v>
      </c>
      <c r="C7" s="2527"/>
      <c r="D7" s="2527"/>
      <c r="E7" s="2507" t="s">
        <v>375</v>
      </c>
      <c r="F7" s="2544" t="s">
        <v>411</v>
      </c>
      <c r="G7" s="2506"/>
      <c r="H7" s="2506"/>
      <c r="I7" s="2506"/>
      <c r="J7" s="2506"/>
      <c r="K7" s="2506"/>
      <c r="L7" s="2507"/>
      <c r="M7" s="2544" t="s">
        <v>373</v>
      </c>
      <c r="N7" s="2506"/>
      <c r="O7" s="2506"/>
      <c r="P7" s="2506"/>
      <c r="Q7" s="2545"/>
      <c r="R7" s="2539" t="s">
        <v>374</v>
      </c>
      <c r="S7" s="2422"/>
      <c r="T7" s="2422"/>
      <c r="U7" s="2422"/>
      <c r="V7" s="2422"/>
      <c r="W7" s="2422"/>
      <c r="X7" s="2422"/>
      <c r="Y7" s="2422"/>
      <c r="Z7" s="2422"/>
      <c r="AA7" s="2422"/>
      <c r="AB7" s="2422"/>
      <c r="AC7" s="2423"/>
      <c r="AD7" s="2421" t="s">
        <v>754</v>
      </c>
      <c r="AE7" s="2422"/>
      <c r="AF7" s="2422"/>
      <c r="AG7" s="2422"/>
      <c r="AH7" s="2423"/>
      <c r="AI7" s="621" t="s">
        <v>629</v>
      </c>
      <c r="AJ7" s="622" t="s">
        <v>630</v>
      </c>
      <c r="AK7" s="622" t="s">
        <v>631</v>
      </c>
      <c r="AL7" s="637" t="s">
        <v>632</v>
      </c>
      <c r="AM7" s="645" t="s">
        <v>511</v>
      </c>
      <c r="AN7" s="646" t="s">
        <v>512</v>
      </c>
      <c r="AO7" s="647" t="s">
        <v>509</v>
      </c>
      <c r="AP7" s="1383" t="s">
        <v>510</v>
      </c>
      <c r="AQ7" s="2465" t="s">
        <v>1894</v>
      </c>
      <c r="AR7" s="2466"/>
      <c r="AS7" s="166"/>
      <c r="AT7" s="166"/>
      <c r="AU7" s="166"/>
      <c r="AV7" s="166"/>
      <c r="AW7" s="166"/>
      <c r="AX7" s="166"/>
      <c r="AY7" s="166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s="9" customFormat="1" ht="160.5" customHeight="1" thickBot="1" x14ac:dyDescent="0.3">
      <c r="A8" s="2554"/>
      <c r="B8" s="2558"/>
      <c r="C8" s="2558"/>
      <c r="D8" s="2558"/>
      <c r="E8" s="2557"/>
      <c r="F8" s="650" t="s">
        <v>258</v>
      </c>
      <c r="G8" s="2548" t="s">
        <v>413</v>
      </c>
      <c r="H8" s="2549"/>
      <c r="I8" s="2548" t="s">
        <v>372</v>
      </c>
      <c r="J8" s="2549"/>
      <c r="K8" s="651" t="s">
        <v>534</v>
      </c>
      <c r="L8" s="652" t="s">
        <v>506</v>
      </c>
      <c r="M8" s="650" t="s">
        <v>247</v>
      </c>
      <c r="N8" s="651" t="str">
        <f>G8</f>
        <v>Безоплатно отримані</v>
      </c>
      <c r="O8" s="651" t="str">
        <f>I8</f>
        <v>Отримані як цільове фінансування</v>
      </c>
      <c r="P8" s="651" t="str">
        <f>K8</f>
        <v>Отримано як статутний капітал</v>
      </c>
      <c r="Q8" s="1565" t="str">
        <f>L8</f>
        <v>Інше (ПМГ та власні кошти)</v>
      </c>
      <c r="R8" s="2550" t="s">
        <v>247</v>
      </c>
      <c r="S8" s="2551"/>
      <c r="T8" s="2431" t="str">
        <f>N8</f>
        <v>Безоплатно отримані</v>
      </c>
      <c r="U8" s="2431"/>
      <c r="V8" s="2431" t="str">
        <f>O8</f>
        <v>Отримані як цільове фінансування</v>
      </c>
      <c r="W8" s="2431"/>
      <c r="X8" s="2431"/>
      <c r="Y8" s="2431" t="str">
        <f>P8</f>
        <v>Отримано як статутний капітал</v>
      </c>
      <c r="Z8" s="2431"/>
      <c r="AA8" s="2431" t="s">
        <v>2044</v>
      </c>
      <c r="AB8" s="2431"/>
      <c r="AC8" s="2510"/>
      <c r="AD8" s="860" t="s">
        <v>247</v>
      </c>
      <c r="AE8" s="533" t="str">
        <f>T8</f>
        <v>Безоплатно отримані</v>
      </c>
      <c r="AF8" s="533" t="str">
        <f>V8</f>
        <v>Отримані як цільове фінансування</v>
      </c>
      <c r="AG8" s="533" t="str">
        <f>Y8</f>
        <v>Отримано як статутний капітал</v>
      </c>
      <c r="AH8" s="534" t="str">
        <f>AA8</f>
        <v>Інше (ПМГ та власні кошти)*
* якщо є переміщення ТМЦ з складу  "Інше" 20+ (Кт) на склад "цільове фінансування, благодійна допомога, пацієнт"  20 ЦФ Пц (Дт), то дані відображаються тільки на складі "цільове фінансування, благодійна допомога, пацієнт"  20 ЦФ Пц (Дт)</v>
      </c>
      <c r="AI8" s="2433" t="s">
        <v>1196</v>
      </c>
      <c r="AJ8" s="2434"/>
      <c r="AK8" s="2434"/>
      <c r="AL8" s="2435"/>
      <c r="AM8" s="2430" t="s">
        <v>939</v>
      </c>
      <c r="AN8" s="2431"/>
      <c r="AO8" s="2431"/>
      <c r="AP8" s="2432"/>
      <c r="AQ8" s="1263" t="s">
        <v>534</v>
      </c>
      <c r="AR8" s="1264" t="s">
        <v>506</v>
      </c>
      <c r="AS8" s="166"/>
      <c r="AT8" s="166"/>
      <c r="AU8" s="166"/>
      <c r="AV8" s="166"/>
      <c r="AW8" s="166"/>
      <c r="AX8" s="166"/>
      <c r="AY8" s="166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2" s="9" customFormat="1" ht="23.25" customHeight="1" thickBot="1" x14ac:dyDescent="0.35">
      <c r="A9" s="653">
        <v>1</v>
      </c>
      <c r="B9" s="2530">
        <v>2</v>
      </c>
      <c r="C9" s="2530"/>
      <c r="D9" s="2530"/>
      <c r="E9" s="625">
        <v>3</v>
      </c>
      <c r="F9" s="653">
        <v>4</v>
      </c>
      <c r="G9" s="2546">
        <v>5</v>
      </c>
      <c r="H9" s="2547"/>
      <c r="I9" s="2546">
        <v>6</v>
      </c>
      <c r="J9" s="2547"/>
      <c r="K9" s="624">
        <v>7</v>
      </c>
      <c r="L9" s="625">
        <v>8</v>
      </c>
      <c r="M9" s="653">
        <v>9</v>
      </c>
      <c r="N9" s="624">
        <v>10</v>
      </c>
      <c r="O9" s="624">
        <v>11</v>
      </c>
      <c r="P9" s="624">
        <v>12</v>
      </c>
      <c r="Q9" s="638">
        <v>13</v>
      </c>
      <c r="R9" s="2556">
        <v>14</v>
      </c>
      <c r="S9" s="2540"/>
      <c r="T9" s="2540">
        <v>15</v>
      </c>
      <c r="U9" s="2540"/>
      <c r="V9" s="2540">
        <v>16</v>
      </c>
      <c r="W9" s="2540"/>
      <c r="X9" s="2540"/>
      <c r="Y9" s="2540">
        <v>17</v>
      </c>
      <c r="Z9" s="2540"/>
      <c r="AA9" s="2540">
        <v>18</v>
      </c>
      <c r="AB9" s="2540"/>
      <c r="AC9" s="2541"/>
      <c r="AD9" s="654">
        <v>19</v>
      </c>
      <c r="AE9" s="627">
        <v>20</v>
      </c>
      <c r="AF9" s="627">
        <v>21</v>
      </c>
      <c r="AG9" s="627">
        <v>22</v>
      </c>
      <c r="AH9" s="628">
        <v>23</v>
      </c>
      <c r="AI9" s="623">
        <v>24</v>
      </c>
      <c r="AJ9" s="624">
        <v>25</v>
      </c>
      <c r="AK9" s="624">
        <v>26</v>
      </c>
      <c r="AL9" s="638">
        <v>27</v>
      </c>
      <c r="AM9" s="626">
        <v>28</v>
      </c>
      <c r="AN9" s="627">
        <v>29</v>
      </c>
      <c r="AO9" s="627">
        <v>30</v>
      </c>
      <c r="AP9" s="1260">
        <v>31</v>
      </c>
      <c r="AQ9" s="626">
        <v>32</v>
      </c>
      <c r="AR9" s="628">
        <v>33</v>
      </c>
      <c r="AS9" s="166"/>
      <c r="AT9" s="166"/>
      <c r="AU9" s="166"/>
      <c r="AV9" s="166"/>
      <c r="AW9" s="166"/>
      <c r="AX9" s="166"/>
      <c r="AY9" s="166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2" s="9" customFormat="1" ht="33.75" customHeight="1" x14ac:dyDescent="0.3">
      <c r="A10" s="655" t="s">
        <v>382</v>
      </c>
      <c r="B10" s="2533" t="s">
        <v>400</v>
      </c>
      <c r="C10" s="2533"/>
      <c r="D10" s="2533"/>
      <c r="E10" s="656">
        <v>1000</v>
      </c>
      <c r="F10" s="657">
        <f t="shared" ref="F10:F15" si="0">G10+I10+L10+K10</f>
        <v>0</v>
      </c>
      <c r="G10" s="2534">
        <f>G11-G12+G13</f>
        <v>0</v>
      </c>
      <c r="H10" s="2535"/>
      <c r="I10" s="2534">
        <f>I11-I12+I13</f>
        <v>0</v>
      </c>
      <c r="J10" s="2535"/>
      <c r="K10" s="658">
        <f>K11-K12+K13</f>
        <v>0</v>
      </c>
      <c r="L10" s="659">
        <f>L11-L12+L13</f>
        <v>0</v>
      </c>
      <c r="M10" s="660" t="s">
        <v>280</v>
      </c>
      <c r="N10" s="661" t="s">
        <v>280</v>
      </c>
      <c r="O10" s="661" t="s">
        <v>280</v>
      </c>
      <c r="P10" s="661" t="s">
        <v>280</v>
      </c>
      <c r="Q10" s="662" t="s">
        <v>280</v>
      </c>
      <c r="R10" s="2552" t="s">
        <v>280</v>
      </c>
      <c r="S10" s="2391"/>
      <c r="T10" s="2391" t="s">
        <v>280</v>
      </c>
      <c r="U10" s="2391"/>
      <c r="V10" s="2391" t="s">
        <v>280</v>
      </c>
      <c r="W10" s="2391"/>
      <c r="X10" s="2391"/>
      <c r="Y10" s="2391" t="s">
        <v>280</v>
      </c>
      <c r="Z10" s="2391"/>
      <c r="AA10" s="2391" t="s">
        <v>280</v>
      </c>
      <c r="AB10" s="2391"/>
      <c r="AC10" s="2392"/>
      <c r="AD10" s="663">
        <f t="shared" ref="AD10:AD15" si="1">AE10+AF10+AH10+AG10</f>
        <v>0</v>
      </c>
      <c r="AE10" s="664">
        <f>AE11-AE12+AE13</f>
        <v>0</v>
      </c>
      <c r="AF10" s="664">
        <f>AF11-AF12+AF13</f>
        <v>0</v>
      </c>
      <c r="AG10" s="664">
        <f>AG11-AG12+AG13</f>
        <v>0</v>
      </c>
      <c r="AH10" s="665">
        <f>AH11-AH12+AH13</f>
        <v>0</v>
      </c>
      <c r="AI10" s="2465" t="s">
        <v>720</v>
      </c>
      <c r="AJ10" s="2439" t="s">
        <v>468</v>
      </c>
      <c r="AK10" s="2439" t="s">
        <v>513</v>
      </c>
      <c r="AL10" s="2436" t="s">
        <v>1197</v>
      </c>
      <c r="AM10" s="649" t="s">
        <v>514</v>
      </c>
      <c r="AN10" s="629" t="s">
        <v>515</v>
      </c>
      <c r="AO10" s="536" t="str">
        <f>IF('Звіт   4,5,6'!E43=0,"Дані не введено",IF(AND((ROUND(F10/1000,1)-AM13)&lt;=1,((ROUND(F10/1000,1)-AM13)&gt;=-1)),"ПРАВДА","ПОМИЛКА"))</f>
        <v>ПРАВДА</v>
      </c>
      <c r="AP10" s="1384" t="str">
        <f>IF('Звіт   4,5,6'!E43=0,"Дані не введено",IF(AND((ROUND(AD10/1000,1)-AN13)&lt;=1,((ROUND(AD10/1000,1)-AN13)&gt;=-1)),"ПРАВДА","ПОМИЛКА"))</f>
        <v>ПРАВДА</v>
      </c>
      <c r="AQ10" s="2467" t="s">
        <v>1897</v>
      </c>
      <c r="AR10" s="2469" t="s">
        <v>1898</v>
      </c>
      <c r="AS10" s="166"/>
      <c r="AT10" s="166"/>
      <c r="AU10" s="166"/>
      <c r="AV10" s="166"/>
      <c r="AW10" s="166"/>
      <c r="AX10" s="166"/>
      <c r="AY10" s="166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pans="1:62" s="9" customFormat="1" ht="43.9" customHeight="1" x14ac:dyDescent="0.3">
      <c r="A11" s="666" t="s">
        <v>384</v>
      </c>
      <c r="B11" s="2410" t="s">
        <v>414</v>
      </c>
      <c r="C11" s="2410"/>
      <c r="D11" s="2410"/>
      <c r="E11" s="667">
        <v>1001</v>
      </c>
      <c r="F11" s="668">
        <f t="shared" si="0"/>
        <v>0</v>
      </c>
      <c r="G11" s="2419">
        <v>0</v>
      </c>
      <c r="H11" s="2420"/>
      <c r="I11" s="2499">
        <v>0</v>
      </c>
      <c r="J11" s="2500"/>
      <c r="K11" s="669">
        <v>0</v>
      </c>
      <c r="L11" s="670">
        <v>0</v>
      </c>
      <c r="M11" s="668">
        <f>N11+O11+Q11+P11</f>
        <v>0</v>
      </c>
      <c r="N11" s="669">
        <v>0</v>
      </c>
      <c r="O11" s="669">
        <v>0</v>
      </c>
      <c r="P11" s="669">
        <v>0</v>
      </c>
      <c r="Q11" s="670">
        <v>0</v>
      </c>
      <c r="R11" s="2388">
        <f>T11+V11+AA11+Y11</f>
        <v>0</v>
      </c>
      <c r="S11" s="2346"/>
      <c r="T11" s="2344">
        <v>0</v>
      </c>
      <c r="U11" s="2344"/>
      <c r="V11" s="2344">
        <v>0</v>
      </c>
      <c r="W11" s="2344"/>
      <c r="X11" s="2344"/>
      <c r="Y11" s="2344">
        <v>0</v>
      </c>
      <c r="Z11" s="2344"/>
      <c r="AA11" s="2344">
        <v>0</v>
      </c>
      <c r="AB11" s="2344"/>
      <c r="AC11" s="2345"/>
      <c r="AD11" s="671">
        <f t="shared" si="1"/>
        <v>0</v>
      </c>
      <c r="AE11" s="672">
        <f>G11+N11-T11+F43</f>
        <v>0</v>
      </c>
      <c r="AF11" s="673">
        <f>I11+O11-V11</f>
        <v>0</v>
      </c>
      <c r="AG11" s="674">
        <f>K11+P11-Y11-I43</f>
        <v>0</v>
      </c>
      <c r="AH11" s="675">
        <f>L11+Q11-AA11</f>
        <v>0</v>
      </c>
      <c r="AI11" s="2468"/>
      <c r="AJ11" s="2438"/>
      <c r="AK11" s="2438"/>
      <c r="AL11" s="2437"/>
      <c r="AM11" s="217">
        <f>F10/1000</f>
        <v>0</v>
      </c>
      <c r="AN11" s="218">
        <f>AD10/1000</f>
        <v>0</v>
      </c>
      <c r="AO11" s="2438" t="s">
        <v>516</v>
      </c>
      <c r="AP11" s="2437" t="s">
        <v>517</v>
      </c>
      <c r="AQ11" s="2468"/>
      <c r="AR11" s="2470"/>
      <c r="AS11" s="166"/>
      <c r="AT11" s="166"/>
      <c r="AU11" s="166"/>
      <c r="AV11" s="166"/>
      <c r="AW11" s="166"/>
      <c r="AX11" s="166"/>
      <c r="AY11" s="166"/>
      <c r="AZ11" s="73"/>
      <c r="BA11" s="73"/>
      <c r="BB11" s="73"/>
      <c r="BC11" s="73"/>
      <c r="BD11" s="73"/>
      <c r="BE11" s="73"/>
      <c r="BF11" s="73"/>
      <c r="BG11" s="73"/>
      <c r="BH11" s="73"/>
      <c r="BI11" s="73"/>
    </row>
    <row r="12" spans="1:62" s="9" customFormat="1" ht="39.75" customHeight="1" x14ac:dyDescent="0.3">
      <c r="A12" s="666" t="s">
        <v>385</v>
      </c>
      <c r="B12" s="2410" t="s">
        <v>401</v>
      </c>
      <c r="C12" s="2410"/>
      <c r="D12" s="2410"/>
      <c r="E12" s="676">
        <v>1002</v>
      </c>
      <c r="F12" s="668">
        <f t="shared" si="0"/>
        <v>0</v>
      </c>
      <c r="G12" s="2419">
        <v>0</v>
      </c>
      <c r="H12" s="2420"/>
      <c r="I12" s="2499">
        <v>0</v>
      </c>
      <c r="J12" s="2500"/>
      <c r="K12" s="669">
        <v>0</v>
      </c>
      <c r="L12" s="670">
        <v>0</v>
      </c>
      <c r="M12" s="668">
        <f>N12+O12+Q12+P12</f>
        <v>0</v>
      </c>
      <c r="N12" s="669">
        <v>0</v>
      </c>
      <c r="O12" s="669">
        <v>0</v>
      </c>
      <c r="P12" s="669">
        <v>0</v>
      </c>
      <c r="Q12" s="670">
        <v>0</v>
      </c>
      <c r="R12" s="2388">
        <f>T12+V12+AA12+Y12</f>
        <v>0</v>
      </c>
      <c r="S12" s="2346"/>
      <c r="T12" s="2344">
        <v>0</v>
      </c>
      <c r="U12" s="2344"/>
      <c r="V12" s="2344">
        <v>0</v>
      </c>
      <c r="W12" s="2344"/>
      <c r="X12" s="2344"/>
      <c r="Y12" s="2344">
        <v>0</v>
      </c>
      <c r="Z12" s="2344"/>
      <c r="AA12" s="2344">
        <v>0</v>
      </c>
      <c r="AB12" s="2344"/>
      <c r="AC12" s="2345"/>
      <c r="AD12" s="671">
        <f>AE12+AF12+AH12+AG12</f>
        <v>0</v>
      </c>
      <c r="AE12" s="672">
        <f>G12+T12-N12+H44</f>
        <v>0</v>
      </c>
      <c r="AF12" s="673">
        <f>I12+V12-O12</f>
        <v>0</v>
      </c>
      <c r="AG12" s="674">
        <f>K12+Y12-P12-G44</f>
        <v>0</v>
      </c>
      <c r="AH12" s="675">
        <f>L12+AA12-Q12</f>
        <v>0</v>
      </c>
      <c r="AI12" s="2468"/>
      <c r="AJ12" s="2438"/>
      <c r="AK12" s="2438"/>
      <c r="AL12" s="2437"/>
      <c r="AM12" s="420" t="s">
        <v>654</v>
      </c>
      <c r="AN12" s="245" t="s">
        <v>655</v>
      </c>
      <c r="AO12" s="2438"/>
      <c r="AP12" s="2437"/>
      <c r="AQ12" s="2468"/>
      <c r="AR12" s="2470"/>
      <c r="AS12" s="166"/>
      <c r="AT12" s="166"/>
      <c r="AU12" s="166"/>
      <c r="AV12" s="166"/>
      <c r="AW12" s="166"/>
      <c r="AX12" s="166"/>
      <c r="AY12" s="166"/>
      <c r="AZ12" s="73"/>
      <c r="BA12" s="73"/>
      <c r="BB12" s="73"/>
      <c r="BC12" s="73"/>
      <c r="BD12" s="73"/>
      <c r="BE12" s="73"/>
      <c r="BF12" s="73"/>
      <c r="BG12" s="73"/>
      <c r="BH12" s="73"/>
      <c r="BI12" s="73"/>
    </row>
    <row r="13" spans="1:62" s="9" customFormat="1" ht="36.75" customHeight="1" x14ac:dyDescent="0.3">
      <c r="A13" s="666" t="s">
        <v>452</v>
      </c>
      <c r="B13" s="2429" t="s">
        <v>415</v>
      </c>
      <c r="C13" s="2429"/>
      <c r="D13" s="2429"/>
      <c r="E13" s="676"/>
      <c r="F13" s="668">
        <f t="shared" si="0"/>
        <v>0</v>
      </c>
      <c r="G13" s="2425">
        <f>G14-G15</f>
        <v>0</v>
      </c>
      <c r="H13" s="2426"/>
      <c r="I13" s="2425">
        <f>I14-I15</f>
        <v>0</v>
      </c>
      <c r="J13" s="2426"/>
      <c r="K13" s="677">
        <f>K14-K15</f>
        <v>0</v>
      </c>
      <c r="L13" s="678">
        <f>L14-L15</f>
        <v>0</v>
      </c>
      <c r="M13" s="679" t="s">
        <v>280</v>
      </c>
      <c r="N13" s="680" t="s">
        <v>280</v>
      </c>
      <c r="O13" s="680" t="s">
        <v>280</v>
      </c>
      <c r="P13" s="680" t="s">
        <v>280</v>
      </c>
      <c r="Q13" s="681" t="s">
        <v>280</v>
      </c>
      <c r="R13" s="2388" t="s">
        <v>280</v>
      </c>
      <c r="S13" s="2346"/>
      <c r="T13" s="2346" t="s">
        <v>280</v>
      </c>
      <c r="U13" s="2346"/>
      <c r="V13" s="2346" t="s">
        <v>280</v>
      </c>
      <c r="W13" s="2346"/>
      <c r="X13" s="2346"/>
      <c r="Y13" s="2346" t="s">
        <v>280</v>
      </c>
      <c r="Z13" s="2346"/>
      <c r="AA13" s="2346" t="s">
        <v>280</v>
      </c>
      <c r="AB13" s="2346"/>
      <c r="AC13" s="2347"/>
      <c r="AD13" s="671">
        <f t="shared" si="1"/>
        <v>0</v>
      </c>
      <c r="AE13" s="677">
        <f>AE14-AE15</f>
        <v>0</v>
      </c>
      <c r="AF13" s="677">
        <f>AF14-AF15</f>
        <v>0</v>
      </c>
      <c r="AG13" s="677">
        <f>AG14-AG15</f>
        <v>0</v>
      </c>
      <c r="AH13" s="678">
        <f>AH14-AH15</f>
        <v>0</v>
      </c>
      <c r="AI13" s="2468"/>
      <c r="AJ13" s="2438"/>
      <c r="AK13" s="2438"/>
      <c r="AL13" s="2437"/>
      <c r="AM13" s="217">
        <f>'Звіт   9'!H13</f>
        <v>0</v>
      </c>
      <c r="AN13" s="218">
        <f>'Звіт   9'!K13</f>
        <v>0</v>
      </c>
      <c r="AO13" s="2438"/>
      <c r="AP13" s="2437"/>
      <c r="AQ13" s="2468"/>
      <c r="AR13" s="2470"/>
      <c r="AS13" s="166"/>
      <c r="AT13" s="166"/>
      <c r="AU13" s="166"/>
      <c r="AV13" s="166"/>
      <c r="AW13" s="166"/>
      <c r="AX13" s="166"/>
      <c r="AY13" s="166"/>
      <c r="AZ13" s="73"/>
      <c r="BA13" s="73"/>
      <c r="BB13" s="73"/>
      <c r="BC13" s="73"/>
      <c r="BD13" s="73"/>
      <c r="BE13" s="73"/>
      <c r="BF13" s="73"/>
      <c r="BG13" s="73"/>
      <c r="BH13" s="73"/>
      <c r="BI13" s="73"/>
    </row>
    <row r="14" spans="1:62" s="9" customFormat="1" ht="45" customHeight="1" x14ac:dyDescent="0.3">
      <c r="A14" s="666" t="s">
        <v>645</v>
      </c>
      <c r="B14" s="2531" t="s">
        <v>675</v>
      </c>
      <c r="C14" s="2531"/>
      <c r="D14" s="2531"/>
      <c r="E14" s="676"/>
      <c r="F14" s="668">
        <f t="shared" si="0"/>
        <v>0</v>
      </c>
      <c r="G14" s="2501">
        <v>0</v>
      </c>
      <c r="H14" s="2502"/>
      <c r="I14" s="2501">
        <v>0</v>
      </c>
      <c r="J14" s="2502"/>
      <c r="K14" s="669">
        <v>0</v>
      </c>
      <c r="L14" s="670">
        <v>0</v>
      </c>
      <c r="M14" s="668">
        <f>N14+O14+Q14+P14</f>
        <v>0</v>
      </c>
      <c r="N14" s="669">
        <v>0</v>
      </c>
      <c r="O14" s="669">
        <v>0</v>
      </c>
      <c r="P14" s="669">
        <v>0</v>
      </c>
      <c r="Q14" s="670">
        <v>0</v>
      </c>
      <c r="R14" s="2388">
        <f>T14+V14+AA14+Y14</f>
        <v>0</v>
      </c>
      <c r="S14" s="2346"/>
      <c r="T14" s="2344">
        <v>0</v>
      </c>
      <c r="U14" s="2344"/>
      <c r="V14" s="2344">
        <v>0</v>
      </c>
      <c r="W14" s="2344"/>
      <c r="X14" s="2344"/>
      <c r="Y14" s="2344">
        <v>0</v>
      </c>
      <c r="Z14" s="2344"/>
      <c r="AA14" s="2344">
        <v>0</v>
      </c>
      <c r="AB14" s="2344"/>
      <c r="AC14" s="2345"/>
      <c r="AD14" s="682">
        <f t="shared" si="1"/>
        <v>0</v>
      </c>
      <c r="AE14" s="683">
        <f>G14+N14-T14+F46</f>
        <v>0</v>
      </c>
      <c r="AF14" s="683">
        <f>I14+O14-V14</f>
        <v>0</v>
      </c>
      <c r="AG14" s="674">
        <f>K14+P14-Y14-I46</f>
        <v>0</v>
      </c>
      <c r="AH14" s="675">
        <f>L14+Q14-AA14</f>
        <v>0</v>
      </c>
      <c r="AI14" s="2468"/>
      <c r="AJ14" s="2438"/>
      <c r="AK14" s="2438"/>
      <c r="AL14" s="2437"/>
      <c r="AM14" s="244" t="s">
        <v>456</v>
      </c>
      <c r="AN14" s="243" t="s">
        <v>456</v>
      </c>
      <c r="AO14" s="2438"/>
      <c r="AP14" s="2437"/>
      <c r="AQ14" s="2468"/>
      <c r="AR14" s="2470"/>
      <c r="AS14" s="166"/>
      <c r="AT14" s="166"/>
      <c r="AU14" s="166"/>
      <c r="AV14" s="166"/>
      <c r="AW14" s="166"/>
      <c r="AX14" s="166"/>
      <c r="AY14" s="166"/>
      <c r="AZ14" s="73"/>
      <c r="BA14" s="73"/>
      <c r="BB14" s="73"/>
      <c r="BC14" s="73"/>
      <c r="BD14" s="73"/>
      <c r="BE14" s="73"/>
      <c r="BF14" s="73"/>
      <c r="BG14" s="73"/>
      <c r="BH14" s="73"/>
      <c r="BI14" s="73"/>
    </row>
    <row r="15" spans="1:62" s="9" customFormat="1" ht="42" customHeight="1" thickBot="1" x14ac:dyDescent="0.35">
      <c r="A15" s="684" t="s">
        <v>646</v>
      </c>
      <c r="B15" s="2532" t="s">
        <v>1066</v>
      </c>
      <c r="C15" s="2532"/>
      <c r="D15" s="2532"/>
      <c r="E15" s="685"/>
      <c r="F15" s="686">
        <f t="shared" si="0"/>
        <v>0</v>
      </c>
      <c r="G15" s="2513">
        <v>0</v>
      </c>
      <c r="H15" s="2514"/>
      <c r="I15" s="2513">
        <v>0</v>
      </c>
      <c r="J15" s="2514"/>
      <c r="K15" s="687">
        <v>0</v>
      </c>
      <c r="L15" s="688">
        <v>0</v>
      </c>
      <c r="M15" s="686">
        <f>N15+O15+Q15+P15</f>
        <v>0</v>
      </c>
      <c r="N15" s="687">
        <v>0</v>
      </c>
      <c r="O15" s="687">
        <v>0</v>
      </c>
      <c r="P15" s="687">
        <v>0</v>
      </c>
      <c r="Q15" s="688">
        <v>0</v>
      </c>
      <c r="R15" s="2388">
        <f>T15+V15+AA15+Y15</f>
        <v>0</v>
      </c>
      <c r="S15" s="2346"/>
      <c r="T15" s="2344">
        <v>0</v>
      </c>
      <c r="U15" s="2344"/>
      <c r="V15" s="2344">
        <v>0</v>
      </c>
      <c r="W15" s="2344"/>
      <c r="X15" s="2344"/>
      <c r="Y15" s="2344">
        <v>0</v>
      </c>
      <c r="Z15" s="2344"/>
      <c r="AA15" s="2344">
        <v>0</v>
      </c>
      <c r="AB15" s="2344"/>
      <c r="AC15" s="2345"/>
      <c r="AD15" s="689">
        <f t="shared" si="1"/>
        <v>0</v>
      </c>
      <c r="AE15" s="690">
        <f>G15+T15-N15+H47</f>
        <v>0</v>
      </c>
      <c r="AF15" s="690">
        <f>I15+V15-O15</f>
        <v>0</v>
      </c>
      <c r="AG15" s="691">
        <f>K15+Y15-P15-G47</f>
        <v>0</v>
      </c>
      <c r="AH15" s="692">
        <f>L15+AA15-Q15</f>
        <v>0</v>
      </c>
      <c r="AI15" s="2468"/>
      <c r="AJ15" s="2438"/>
      <c r="AK15" s="2438"/>
      <c r="AL15" s="2437"/>
      <c r="AM15" s="648">
        <f>AM13-AM11</f>
        <v>0</v>
      </c>
      <c r="AN15" s="644">
        <f>AN13-AN11</f>
        <v>0</v>
      </c>
      <c r="AO15" s="2438"/>
      <c r="AP15" s="2437"/>
      <c r="AQ15" s="2468"/>
      <c r="AR15" s="2470"/>
      <c r="AS15" s="166"/>
      <c r="AT15" s="166"/>
      <c r="AU15" s="166"/>
      <c r="AV15" s="166"/>
      <c r="AW15" s="166"/>
      <c r="AX15" s="166"/>
      <c r="AY15" s="166"/>
      <c r="AZ15" s="73"/>
      <c r="BA15" s="73"/>
      <c r="BB15" s="73"/>
      <c r="BC15" s="73"/>
      <c r="BD15" s="73"/>
      <c r="BE15" s="73"/>
      <c r="BF15" s="73"/>
      <c r="BG15" s="73"/>
      <c r="BH15" s="73"/>
      <c r="BI15" s="73"/>
    </row>
    <row r="16" spans="1:62" s="125" customFormat="1" ht="43.5" customHeight="1" thickBot="1" x14ac:dyDescent="0.35">
      <c r="A16" s="693"/>
      <c r="B16" s="694"/>
      <c r="C16" s="694"/>
      <c r="D16" s="694"/>
      <c r="E16" s="695"/>
      <c r="F16" s="696"/>
      <c r="G16" s="697"/>
      <c r="H16" s="697"/>
      <c r="I16" s="697"/>
      <c r="J16" s="697"/>
      <c r="K16" s="697"/>
      <c r="L16" s="698"/>
      <c r="M16" s="696"/>
      <c r="N16" s="697"/>
      <c r="O16" s="697"/>
      <c r="P16" s="697"/>
      <c r="Q16" s="697"/>
      <c r="R16" s="1646" t="s">
        <v>709</v>
      </c>
      <c r="S16" s="1645" t="s">
        <v>710</v>
      </c>
      <c r="T16" s="1645" t="s">
        <v>709</v>
      </c>
      <c r="U16" s="1645" t="s">
        <v>710</v>
      </c>
      <c r="V16" s="1645" t="s">
        <v>709</v>
      </c>
      <c r="W16" s="2427" t="s">
        <v>710</v>
      </c>
      <c r="X16" s="2427"/>
      <c r="Y16" s="1645" t="s">
        <v>709</v>
      </c>
      <c r="Z16" s="1645" t="s">
        <v>710</v>
      </c>
      <c r="AA16" s="1645" t="s">
        <v>709</v>
      </c>
      <c r="AB16" s="2427" t="s">
        <v>710</v>
      </c>
      <c r="AC16" s="2559"/>
      <c r="AD16" s="699"/>
      <c r="AE16" s="699"/>
      <c r="AF16" s="699"/>
      <c r="AG16" s="699"/>
      <c r="AH16" s="699"/>
      <c r="AI16" s="2468"/>
      <c r="AJ16" s="2438"/>
      <c r="AK16" s="2438"/>
      <c r="AL16" s="2437"/>
      <c r="AM16" s="2508" t="s">
        <v>940</v>
      </c>
      <c r="AN16" s="1823"/>
      <c r="AO16" s="1823"/>
      <c r="AP16" s="2067"/>
      <c r="AQ16" s="2468"/>
      <c r="AR16" s="2470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</row>
    <row r="17" spans="1:61" s="9" customFormat="1" ht="42.75" customHeight="1" thickBot="1" x14ac:dyDescent="0.35">
      <c r="A17" s="700" t="s">
        <v>383</v>
      </c>
      <c r="B17" s="2424" t="s">
        <v>100</v>
      </c>
      <c r="C17" s="2424"/>
      <c r="D17" s="2424"/>
      <c r="E17" s="701">
        <v>1005</v>
      </c>
      <c r="F17" s="702">
        <f>I17+L17+K17</f>
        <v>106606</v>
      </c>
      <c r="G17" s="2648" t="s">
        <v>280</v>
      </c>
      <c r="H17" s="2649"/>
      <c r="I17" s="2650">
        <v>106606</v>
      </c>
      <c r="J17" s="2651"/>
      <c r="K17" s="703">
        <v>0</v>
      </c>
      <c r="L17" s="703">
        <v>0</v>
      </c>
      <c r="M17" s="702">
        <f>O17+Q17+P17+N17</f>
        <v>2164943</v>
      </c>
      <c r="N17" s="704">
        <v>0</v>
      </c>
      <c r="O17" s="704">
        <v>2036669</v>
      </c>
      <c r="P17" s="703">
        <v>0</v>
      </c>
      <c r="Q17" s="703">
        <v>128274</v>
      </c>
      <c r="R17" s="686">
        <f>AA17+Y17+V17+T17</f>
        <v>2079616</v>
      </c>
      <c r="S17" s="1647">
        <f>AB17+Z17+W17+U17</f>
        <v>0</v>
      </c>
      <c r="T17" s="1700">
        <v>0</v>
      </c>
      <c r="U17" s="705">
        <v>0</v>
      </c>
      <c r="V17" s="705">
        <v>1951342</v>
      </c>
      <c r="W17" s="687">
        <v>0</v>
      </c>
      <c r="X17" s="687">
        <v>0</v>
      </c>
      <c r="Y17" s="687">
        <v>0</v>
      </c>
      <c r="Z17" s="687">
        <v>0</v>
      </c>
      <c r="AA17" s="687">
        <v>128274</v>
      </c>
      <c r="AB17" s="2342">
        <v>0</v>
      </c>
      <c r="AC17" s="2343"/>
      <c r="AD17" s="706">
        <f>AF17+AH17+AG17</f>
        <v>191933</v>
      </c>
      <c r="AE17" s="707">
        <f>N17-T17-U17</f>
        <v>0</v>
      </c>
      <c r="AF17" s="708">
        <f>I17+O17-V17-W17</f>
        <v>191933</v>
      </c>
      <c r="AG17" s="709">
        <f>K17+P17-Y17-Z17</f>
        <v>0</v>
      </c>
      <c r="AH17" s="710">
        <f>L17+Q17-AA17-AB17</f>
        <v>0</v>
      </c>
      <c r="AI17" s="632" t="str">
        <f>IF('Звіт   4,5,6'!E43=0,"Дані не введено",IF(AND(M17='Звіт 1,2,3'!G71,R17=(M11+M21)),"ПРАВДА","ПОМИЛКА"))</f>
        <v>ПРАВДА</v>
      </c>
      <c r="AJ17" s="535" t="str">
        <f>IF('Звіт   4,5,6'!E43=0,"Дані не введено",IF((N17+O17)=('Звіт 1,2,3'!I71+'Звіт 1,2,3'!J71+'Звіт 1,2,3'!K71+'Звіт 1,2,3'!L71+'Звіт 1,2,3'!M71+'Звіт 1,2,3'!N71),"ПРАВДА","ПОМИЛКА"))</f>
        <v>ПРАВДА</v>
      </c>
      <c r="AK17" s="535" t="str">
        <f>IF('Звіт   4,5,6'!E43=0,"Дані не введено",IF(AND((ROUND(I17/1000,1)-AK21)&lt;=1,((ROUND(I17/1000,1)-AK21)&gt;=-1)),"ПРАВДА","ПОМИЛКА"))</f>
        <v>ПРАВДА</v>
      </c>
      <c r="AL17" s="639" t="str">
        <f>IF('Звіт   4,5,6'!E43=0,"Дані не введено",IF(AND((ROUND((AF17+I79)/1000,1)-AL21)&lt;=1,((ROUND((AF17+I79)/1000,1)-AL21)&gt;=-1)),"ПРАВДА","ПОМИЛКА"))</f>
        <v>ПРАВДА</v>
      </c>
      <c r="AM17" s="2508"/>
      <c r="AN17" s="1823"/>
      <c r="AO17" s="1823"/>
      <c r="AP17" s="2067"/>
      <c r="AQ17" s="2468"/>
      <c r="AR17" s="2470"/>
      <c r="AS17" s="166"/>
      <c r="AT17" s="166"/>
      <c r="AU17" s="166"/>
      <c r="AV17" s="166"/>
      <c r="AW17" s="166"/>
      <c r="AX17" s="166"/>
      <c r="AY17" s="166"/>
      <c r="AZ17" s="73"/>
      <c r="BA17" s="73"/>
      <c r="BB17" s="73"/>
      <c r="BC17" s="73"/>
      <c r="BD17" s="73"/>
      <c r="BE17" s="73"/>
      <c r="BF17" s="73"/>
      <c r="BG17" s="73"/>
      <c r="BH17" s="73"/>
      <c r="BI17" s="73"/>
    </row>
    <row r="18" spans="1:61" s="125" customFormat="1" ht="26.25" customHeight="1" thickBot="1" x14ac:dyDescent="0.35">
      <c r="A18" s="693"/>
      <c r="B18" s="711"/>
      <c r="C18" s="711"/>
      <c r="D18" s="711"/>
      <c r="E18" s="695"/>
      <c r="F18" s="696"/>
      <c r="G18" s="712"/>
      <c r="H18" s="712"/>
      <c r="I18" s="697"/>
      <c r="J18" s="697"/>
      <c r="K18" s="697"/>
      <c r="L18" s="698"/>
      <c r="M18" s="696"/>
      <c r="N18" s="697"/>
      <c r="O18" s="697"/>
      <c r="P18" s="697"/>
      <c r="Q18" s="698"/>
      <c r="R18" s="2448"/>
      <c r="S18" s="2449"/>
      <c r="T18" s="2449"/>
      <c r="U18" s="2449"/>
      <c r="V18" s="2449"/>
      <c r="W18" s="2449"/>
      <c r="X18" s="2449"/>
      <c r="Y18" s="2449"/>
      <c r="Z18" s="2449"/>
      <c r="AA18" s="2449"/>
      <c r="AB18" s="2449"/>
      <c r="AC18" s="2449"/>
      <c r="AD18" s="2449"/>
      <c r="AE18" s="2449"/>
      <c r="AF18" s="2449"/>
      <c r="AG18" s="2449"/>
      <c r="AH18" s="2450"/>
      <c r="AI18" s="2471" t="s">
        <v>518</v>
      </c>
      <c r="AJ18" s="2400" t="s">
        <v>519</v>
      </c>
      <c r="AK18" s="2400" t="s">
        <v>650</v>
      </c>
      <c r="AL18" s="2404" t="s">
        <v>651</v>
      </c>
      <c r="AM18" s="2508"/>
      <c r="AN18" s="1823"/>
      <c r="AO18" s="1823"/>
      <c r="AP18" s="2067"/>
      <c r="AQ18" s="2468"/>
      <c r="AR18" s="2470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</row>
    <row r="19" spans="1:61" s="9" customFormat="1" ht="36" customHeight="1" x14ac:dyDescent="0.3">
      <c r="A19" s="655" t="s">
        <v>386</v>
      </c>
      <c r="B19" s="2533" t="s">
        <v>101</v>
      </c>
      <c r="C19" s="2533"/>
      <c r="D19" s="2533"/>
      <c r="E19" s="656">
        <v>1010</v>
      </c>
      <c r="F19" s="657">
        <f t="shared" ref="F19:F25" si="2">G19+I19+L19+K19</f>
        <v>48408092</v>
      </c>
      <c r="G19" s="2534">
        <f>G21-G22+G23</f>
        <v>23681096</v>
      </c>
      <c r="H19" s="2535"/>
      <c r="I19" s="2534">
        <f>I21-I22+I23</f>
        <v>244911</v>
      </c>
      <c r="J19" s="2535"/>
      <c r="K19" s="658">
        <f>K21-K22+K23</f>
        <v>24482085</v>
      </c>
      <c r="L19" s="659">
        <f>L21-L22+L23</f>
        <v>0</v>
      </c>
      <c r="M19" s="1261" t="s">
        <v>280</v>
      </c>
      <c r="N19" s="1259" t="s">
        <v>280</v>
      </c>
      <c r="O19" s="1259" t="s">
        <v>280</v>
      </c>
      <c r="P19" s="1259" t="s">
        <v>280</v>
      </c>
      <c r="Q19" s="1262" t="s">
        <v>280</v>
      </c>
      <c r="R19" s="2428" t="s">
        <v>280</v>
      </c>
      <c r="S19" s="2383"/>
      <c r="T19" s="2383" t="s">
        <v>280</v>
      </c>
      <c r="U19" s="2383"/>
      <c r="V19" s="2383" t="s">
        <v>280</v>
      </c>
      <c r="W19" s="2383"/>
      <c r="X19" s="2383"/>
      <c r="Y19" s="2383" t="s">
        <v>280</v>
      </c>
      <c r="Z19" s="2383"/>
      <c r="AA19" s="2383" t="s">
        <v>280</v>
      </c>
      <c r="AB19" s="2383"/>
      <c r="AC19" s="2385"/>
      <c r="AD19" s="713">
        <f t="shared" ref="AD19:AD25" si="3">AE19+AF19+AH19+AG19</f>
        <v>49635794</v>
      </c>
      <c r="AE19" s="714">
        <f>AE21-AE22+AE23</f>
        <v>23414786</v>
      </c>
      <c r="AF19" s="714">
        <f>AF21-AF22+AF23</f>
        <v>1714649</v>
      </c>
      <c r="AG19" s="714">
        <f>AG21-AG22+AG23</f>
        <v>24378085</v>
      </c>
      <c r="AH19" s="715">
        <f>AH21-AH22+AH23</f>
        <v>128274</v>
      </c>
      <c r="AI19" s="2472"/>
      <c r="AJ19" s="2402"/>
      <c r="AK19" s="2402"/>
      <c r="AL19" s="2405"/>
      <c r="AM19" s="2471" t="s">
        <v>520</v>
      </c>
      <c r="AN19" s="2400" t="s">
        <v>521</v>
      </c>
      <c r="AO19" s="535" t="str">
        <f>IF('Звіт   4,5,6'!E43=0,"Дані не введено",IF(AND((ROUND(F19/1000,1)-AM23)&lt;=1,((ROUND(F19/1000,1)-AM23)&gt;=-1)),"ПРАВДА","ПОМИЛКА"))</f>
        <v>ПРАВДА</v>
      </c>
      <c r="AP19" s="639" t="str">
        <f>IF('Звіт   4,5,6'!E43=0,"Дані не введено",IF(AND((ROUND(AD19/1000,1)-AN23)&lt;=1,((ROUND(AD19/1000,1)-AN23)&gt;=-1)),"ПРАВДА","ПОМИЛКА"))</f>
        <v>ПРАВДА</v>
      </c>
      <c r="AQ19" s="632" t="str">
        <f>IF('Звіт   4,5,6'!E43=0,"Дані не введено",IF(AND((K19-K20)=0,Y22=0),"ПРАВДА",IF(AND((K19-K20)&gt;0,Y22&gt;0),"ПРАВДА","ПОМИЛКА")))</f>
        <v>ПРАВДА</v>
      </c>
      <c r="AR19" s="633" t="str">
        <f>IF('Звіт   4,5,6'!E43=0,"Дані не введено",IF(AND((L19-L20)=0,AA22=0),"ПРАВДА",IF(AND((L19-L20)&gt;0,AA22&gt;0),"ПРАВДА","ПОМИЛКА")))</f>
        <v>ПРАВДА</v>
      </c>
      <c r="AS19" s="166"/>
      <c r="AT19" s="166"/>
      <c r="AU19" s="166"/>
      <c r="AV19" s="166"/>
      <c r="AW19" s="166"/>
      <c r="AX19" s="166"/>
      <c r="AY19" s="166"/>
      <c r="AZ19" s="73"/>
      <c r="BA19" s="73"/>
      <c r="BB19" s="73"/>
      <c r="BC19" s="73"/>
      <c r="BD19" s="73"/>
      <c r="BE19" s="73"/>
      <c r="BF19" s="73"/>
      <c r="BG19" s="73"/>
      <c r="BH19" s="73"/>
      <c r="BI19" s="73"/>
    </row>
    <row r="20" spans="1:61" s="9" customFormat="1" ht="36" customHeight="1" x14ac:dyDescent="0.3">
      <c r="A20" s="1388"/>
      <c r="B20" s="2407" t="s">
        <v>1083</v>
      </c>
      <c r="C20" s="2408"/>
      <c r="D20" s="2409"/>
      <c r="E20" s="1654"/>
      <c r="F20" s="1561" t="s">
        <v>280</v>
      </c>
      <c r="G20" s="2425" t="s">
        <v>280</v>
      </c>
      <c r="H20" s="2426"/>
      <c r="I20" s="2425" t="s">
        <v>280</v>
      </c>
      <c r="J20" s="2426"/>
      <c r="K20" s="1391">
        <v>0</v>
      </c>
      <c r="L20" s="1391">
        <v>0</v>
      </c>
      <c r="M20" s="1257" t="s">
        <v>280</v>
      </c>
      <c r="N20" s="1258" t="s">
        <v>280</v>
      </c>
      <c r="O20" s="1258" t="s">
        <v>280</v>
      </c>
      <c r="P20" s="1258" t="s">
        <v>280</v>
      </c>
      <c r="Q20" s="1265" t="s">
        <v>280</v>
      </c>
      <c r="R20" s="2388" t="s">
        <v>280</v>
      </c>
      <c r="S20" s="2346"/>
      <c r="T20" s="2346" t="s">
        <v>280</v>
      </c>
      <c r="U20" s="2346"/>
      <c r="V20" s="2391" t="s">
        <v>280</v>
      </c>
      <c r="W20" s="2391"/>
      <c r="X20" s="2391"/>
      <c r="Y20" s="2391" t="s">
        <v>280</v>
      </c>
      <c r="Z20" s="2391"/>
      <c r="AA20" s="2391" t="s">
        <v>280</v>
      </c>
      <c r="AB20" s="2391"/>
      <c r="AC20" s="2392"/>
      <c r="AD20" s="663"/>
      <c r="AE20" s="1389"/>
      <c r="AF20" s="1389"/>
      <c r="AG20" s="1389"/>
      <c r="AH20" s="1390"/>
      <c r="AI20" s="2467"/>
      <c r="AJ20" s="2401"/>
      <c r="AK20" s="2401"/>
      <c r="AL20" s="2469"/>
      <c r="AM20" s="2467"/>
      <c r="AN20" s="2401"/>
      <c r="AO20" s="2400" t="s">
        <v>522</v>
      </c>
      <c r="AP20" s="2404" t="s">
        <v>523</v>
      </c>
      <c r="AQ20" s="2393"/>
      <c r="AR20" s="2396"/>
      <c r="AS20" s="166"/>
      <c r="AT20" s="166"/>
      <c r="AU20" s="166"/>
      <c r="AV20" s="166"/>
      <c r="AW20" s="166"/>
      <c r="AX20" s="166"/>
      <c r="AY20" s="166"/>
      <c r="AZ20" s="73"/>
      <c r="BA20" s="73"/>
      <c r="BB20" s="73"/>
      <c r="BC20" s="73"/>
      <c r="BD20" s="73"/>
      <c r="BE20" s="73"/>
      <c r="BF20" s="73"/>
      <c r="BG20" s="73"/>
      <c r="BH20" s="73"/>
      <c r="BI20" s="73"/>
    </row>
    <row r="21" spans="1:61" s="9" customFormat="1" ht="47.25" customHeight="1" x14ac:dyDescent="0.3">
      <c r="A21" s="666" t="s">
        <v>387</v>
      </c>
      <c r="B21" s="2410" t="s">
        <v>416</v>
      </c>
      <c r="C21" s="2410"/>
      <c r="D21" s="2410"/>
      <c r="E21" s="667">
        <v>1011</v>
      </c>
      <c r="F21" s="668">
        <f t="shared" si="2"/>
        <v>87512232</v>
      </c>
      <c r="G21" s="2419">
        <v>41854470</v>
      </c>
      <c r="H21" s="2420"/>
      <c r="I21" s="2499">
        <v>444336</v>
      </c>
      <c r="J21" s="2500"/>
      <c r="K21" s="716">
        <v>45213426</v>
      </c>
      <c r="L21" s="716">
        <v>0</v>
      </c>
      <c r="M21" s="668">
        <f>N21+O21+Q21+P21</f>
        <v>2079616</v>
      </c>
      <c r="N21" s="716">
        <v>0</v>
      </c>
      <c r="O21" s="716">
        <v>1951342</v>
      </c>
      <c r="P21" s="716">
        <v>0</v>
      </c>
      <c r="Q21" s="936">
        <v>128274</v>
      </c>
      <c r="R21" s="2388">
        <f>T21+V21+AA21+Y21</f>
        <v>488528</v>
      </c>
      <c r="S21" s="2346"/>
      <c r="T21" s="2384">
        <v>44223</v>
      </c>
      <c r="U21" s="2384"/>
      <c r="V21" s="2344">
        <v>381305</v>
      </c>
      <c r="W21" s="2344"/>
      <c r="X21" s="2344"/>
      <c r="Y21" s="2344">
        <v>63000</v>
      </c>
      <c r="Z21" s="2344"/>
      <c r="AA21" s="2344">
        <v>0</v>
      </c>
      <c r="AB21" s="2344"/>
      <c r="AC21" s="2345"/>
      <c r="AD21" s="671">
        <f t="shared" si="3"/>
        <v>89103320</v>
      </c>
      <c r="AE21" s="672">
        <f>G21+N21-T21+F49</f>
        <v>41873247</v>
      </c>
      <c r="AF21" s="673">
        <f>I21+O21-V21</f>
        <v>2014373</v>
      </c>
      <c r="AG21" s="674">
        <f>K21+P21-Y21-I49</f>
        <v>45087426</v>
      </c>
      <c r="AH21" s="675">
        <f>L21+Q21-AA21</f>
        <v>128274</v>
      </c>
      <c r="AI21" s="217">
        <f>'Звіт 1,2,3'!G71</f>
        <v>2164943</v>
      </c>
      <c r="AJ21" s="218">
        <f>SUM('Звіт 1,2,3'!I71:N71)</f>
        <v>2036669</v>
      </c>
      <c r="AK21" s="218">
        <f>'Звіт   9'!H77</f>
        <v>106.6</v>
      </c>
      <c r="AL21" s="640">
        <f>'Звіт   9'!K77</f>
        <v>191.9</v>
      </c>
      <c r="AM21" s="217">
        <f>F19/1000</f>
        <v>48408.1</v>
      </c>
      <c r="AN21" s="218">
        <f>AD19/1000</f>
        <v>49635.8</v>
      </c>
      <c r="AO21" s="2402"/>
      <c r="AP21" s="2405"/>
      <c r="AQ21" s="2394"/>
      <c r="AR21" s="2397"/>
      <c r="AS21" s="166"/>
      <c r="AT21" s="166"/>
      <c r="AU21" s="166"/>
      <c r="AV21" s="166"/>
      <c r="AW21" s="166"/>
      <c r="AX21" s="166"/>
      <c r="AY21" s="166"/>
      <c r="AZ21" s="73"/>
      <c r="BA21" s="73"/>
      <c r="BB21" s="73"/>
      <c r="BC21" s="73"/>
      <c r="BD21" s="73"/>
      <c r="BE21" s="73"/>
      <c r="BF21" s="73"/>
      <c r="BG21" s="73"/>
      <c r="BH21" s="73"/>
      <c r="BI21" s="73"/>
    </row>
    <row r="22" spans="1:61" s="9" customFormat="1" ht="36.75" customHeight="1" x14ac:dyDescent="0.3">
      <c r="A22" s="666" t="s">
        <v>388</v>
      </c>
      <c r="B22" s="2410" t="s">
        <v>402</v>
      </c>
      <c r="C22" s="2410"/>
      <c r="D22" s="2410"/>
      <c r="E22" s="667">
        <v>1012</v>
      </c>
      <c r="F22" s="668">
        <f t="shared" si="2"/>
        <v>39104140</v>
      </c>
      <c r="G22" s="2419">
        <v>18173374</v>
      </c>
      <c r="H22" s="2420"/>
      <c r="I22" s="2499">
        <v>199425</v>
      </c>
      <c r="J22" s="2500"/>
      <c r="K22" s="716">
        <v>20731341</v>
      </c>
      <c r="L22" s="716">
        <v>0</v>
      </c>
      <c r="M22" s="668">
        <f>N22+O22+Q22+P22</f>
        <v>44223</v>
      </c>
      <c r="N22" s="716">
        <v>44223</v>
      </c>
      <c r="O22" s="716">
        <v>0</v>
      </c>
      <c r="P22" s="716">
        <v>0</v>
      </c>
      <c r="Q22" s="936"/>
      <c r="R22" s="2388">
        <f>T22+V22+AA22+Y22</f>
        <v>407609</v>
      </c>
      <c r="S22" s="2346"/>
      <c r="T22" s="2384">
        <f>222087+44223</f>
        <v>266310</v>
      </c>
      <c r="U22" s="2384"/>
      <c r="V22" s="2344">
        <f>100299</f>
        <v>100299</v>
      </c>
      <c r="W22" s="2344"/>
      <c r="X22" s="2344"/>
      <c r="Y22" s="2344">
        <v>41000</v>
      </c>
      <c r="Z22" s="2344"/>
      <c r="AA22" s="2344"/>
      <c r="AB22" s="2344"/>
      <c r="AC22" s="2345"/>
      <c r="AD22" s="671">
        <f t="shared" si="3"/>
        <v>39467526</v>
      </c>
      <c r="AE22" s="672">
        <f>G22+T22-N22+H50</f>
        <v>18458461</v>
      </c>
      <c r="AF22" s="673">
        <f>I22+V22-O22</f>
        <v>299724</v>
      </c>
      <c r="AG22" s="674">
        <f>K22+Y22-P22-G50</f>
        <v>20709341</v>
      </c>
      <c r="AH22" s="675">
        <f>L22+AA22-Q22</f>
        <v>0</v>
      </c>
      <c r="AI22" s="634" t="s">
        <v>524</v>
      </c>
      <c r="AJ22" s="635" t="s">
        <v>525</v>
      </c>
      <c r="AK22" s="635" t="s">
        <v>526</v>
      </c>
      <c r="AL22" s="641" t="s">
        <v>753</v>
      </c>
      <c r="AM22" s="420" t="s">
        <v>652</v>
      </c>
      <c r="AN22" s="245" t="s">
        <v>653</v>
      </c>
      <c r="AO22" s="2402"/>
      <c r="AP22" s="2405"/>
      <c r="AQ22" s="2394"/>
      <c r="AR22" s="2397"/>
      <c r="AS22" s="166"/>
      <c r="AT22" s="166"/>
      <c r="AU22" s="166"/>
      <c r="AV22" s="166"/>
      <c r="AW22" s="166"/>
      <c r="AX22" s="166"/>
      <c r="AY22" s="166"/>
      <c r="AZ22" s="73"/>
      <c r="BA22" s="73"/>
      <c r="BB22" s="73"/>
      <c r="BC22" s="73"/>
      <c r="BD22" s="73"/>
      <c r="BE22" s="73"/>
      <c r="BF22" s="73"/>
      <c r="BG22" s="73"/>
      <c r="BH22" s="73"/>
      <c r="BI22" s="73"/>
    </row>
    <row r="23" spans="1:61" s="9" customFormat="1" ht="21.75" customHeight="1" x14ac:dyDescent="0.3">
      <c r="A23" s="666" t="s">
        <v>502</v>
      </c>
      <c r="B23" s="2429" t="s">
        <v>417</v>
      </c>
      <c r="C23" s="2429"/>
      <c r="D23" s="2429"/>
      <c r="E23" s="667"/>
      <c r="F23" s="668">
        <f t="shared" si="2"/>
        <v>0</v>
      </c>
      <c r="G23" s="2425">
        <f>G24-G25</f>
        <v>0</v>
      </c>
      <c r="H23" s="2426"/>
      <c r="I23" s="2425">
        <f>I24-I25</f>
        <v>0</v>
      </c>
      <c r="J23" s="2426"/>
      <c r="K23" s="677">
        <f>K24-K25</f>
        <v>0</v>
      </c>
      <c r="L23" s="678">
        <f>L24-L25</f>
        <v>0</v>
      </c>
      <c r="M23" s="1257" t="s">
        <v>280</v>
      </c>
      <c r="N23" s="1673" t="s">
        <v>280</v>
      </c>
      <c r="O23" s="1673" t="s">
        <v>280</v>
      </c>
      <c r="P23" s="1673" t="s">
        <v>280</v>
      </c>
      <c r="Q23" s="1671" t="s">
        <v>280</v>
      </c>
      <c r="R23" s="2388" t="s">
        <v>280</v>
      </c>
      <c r="S23" s="2346"/>
      <c r="T23" s="2346" t="s">
        <v>280</v>
      </c>
      <c r="U23" s="2346"/>
      <c r="V23" s="2346" t="s">
        <v>280</v>
      </c>
      <c r="W23" s="2346"/>
      <c r="X23" s="2346"/>
      <c r="Y23" s="2346" t="s">
        <v>280</v>
      </c>
      <c r="Z23" s="2346"/>
      <c r="AA23" s="2346" t="s">
        <v>280</v>
      </c>
      <c r="AB23" s="2346"/>
      <c r="AC23" s="2347"/>
      <c r="AD23" s="671">
        <f t="shared" si="3"/>
        <v>0</v>
      </c>
      <c r="AE23" s="677">
        <f>AE24-AE25</f>
        <v>0</v>
      </c>
      <c r="AF23" s="677">
        <f>AF24-AF25</f>
        <v>0</v>
      </c>
      <c r="AG23" s="677">
        <f>AG24-AG25</f>
        <v>0</v>
      </c>
      <c r="AH23" s="678">
        <f>AH24-AH25</f>
        <v>0</v>
      </c>
      <c r="AI23" s="217">
        <f>M17</f>
        <v>2164943</v>
      </c>
      <c r="AJ23" s="218">
        <f>O17+N17</f>
        <v>2036669</v>
      </c>
      <c r="AK23" s="218">
        <f>I17/1000</f>
        <v>106.6</v>
      </c>
      <c r="AL23" s="640">
        <f>AF17/1000+I79/1000</f>
        <v>191.9</v>
      </c>
      <c r="AM23" s="217">
        <f>'Звіт   9'!H17</f>
        <v>48408.1</v>
      </c>
      <c r="AN23" s="218">
        <f>'Звіт   9'!K17</f>
        <v>49635.8</v>
      </c>
      <c r="AO23" s="2402"/>
      <c r="AP23" s="2405"/>
      <c r="AQ23" s="2394"/>
      <c r="AR23" s="2397"/>
      <c r="AS23" s="166"/>
      <c r="AT23" s="166"/>
      <c r="AU23" s="166"/>
      <c r="AV23" s="166"/>
      <c r="AW23" s="166"/>
      <c r="AX23" s="166"/>
      <c r="AY23" s="166"/>
      <c r="AZ23" s="73"/>
      <c r="BA23" s="73"/>
      <c r="BB23" s="73"/>
      <c r="BC23" s="73"/>
      <c r="BD23" s="73"/>
      <c r="BE23" s="73"/>
      <c r="BF23" s="73"/>
      <c r="BG23" s="73"/>
      <c r="BH23" s="73"/>
      <c r="BI23" s="73"/>
    </row>
    <row r="24" spans="1:61" s="9" customFormat="1" ht="40.5" customHeight="1" x14ac:dyDescent="0.3">
      <c r="A24" s="666" t="s">
        <v>643</v>
      </c>
      <c r="B24" s="2531" t="s">
        <v>675</v>
      </c>
      <c r="C24" s="2531"/>
      <c r="D24" s="2531"/>
      <c r="E24" s="667"/>
      <c r="F24" s="668">
        <f t="shared" si="2"/>
        <v>0</v>
      </c>
      <c r="G24" s="2501">
        <v>0</v>
      </c>
      <c r="H24" s="2502"/>
      <c r="I24" s="2501">
        <v>0</v>
      </c>
      <c r="J24" s="2502"/>
      <c r="K24" s="669">
        <v>0</v>
      </c>
      <c r="L24" s="670">
        <v>0</v>
      </c>
      <c r="M24" s="668">
        <f>N24+O24+Q24+P24</f>
        <v>0</v>
      </c>
      <c r="N24" s="669">
        <v>0</v>
      </c>
      <c r="O24" s="669">
        <v>0</v>
      </c>
      <c r="P24" s="669">
        <v>0</v>
      </c>
      <c r="Q24" s="717">
        <v>0</v>
      </c>
      <c r="R24" s="2388">
        <f>T24+V24+AA24+Y24</f>
        <v>0</v>
      </c>
      <c r="S24" s="2346"/>
      <c r="T24" s="2344">
        <v>0</v>
      </c>
      <c r="U24" s="2344"/>
      <c r="V24" s="2344">
        <v>0</v>
      </c>
      <c r="W24" s="2344"/>
      <c r="X24" s="2344"/>
      <c r="Y24" s="2344">
        <v>0</v>
      </c>
      <c r="Z24" s="2344"/>
      <c r="AA24" s="2344">
        <v>0</v>
      </c>
      <c r="AB24" s="2344"/>
      <c r="AC24" s="2345"/>
      <c r="AD24" s="682">
        <f t="shared" si="3"/>
        <v>0</v>
      </c>
      <c r="AE24" s="683">
        <f>G24+N24-T24+F52</f>
        <v>0</v>
      </c>
      <c r="AF24" s="683">
        <f>I24+O24-V24</f>
        <v>0</v>
      </c>
      <c r="AG24" s="674">
        <f>K24+P24-Y24-I52</f>
        <v>0</v>
      </c>
      <c r="AH24" s="675">
        <f>L24+Q24-AA24</f>
        <v>0</v>
      </c>
      <c r="AI24" s="244" t="s">
        <v>456</v>
      </c>
      <c r="AJ24" s="243" t="s">
        <v>456</v>
      </c>
      <c r="AK24" s="243" t="s">
        <v>456</v>
      </c>
      <c r="AL24" s="642" t="s">
        <v>456</v>
      </c>
      <c r="AM24" s="244" t="s">
        <v>456</v>
      </c>
      <c r="AN24" s="243" t="s">
        <v>456</v>
      </c>
      <c r="AO24" s="2402"/>
      <c r="AP24" s="2405"/>
      <c r="AQ24" s="2394"/>
      <c r="AR24" s="2397"/>
      <c r="AS24" s="166"/>
      <c r="AT24" s="166"/>
      <c r="AU24" s="166"/>
      <c r="AV24" s="166"/>
      <c r="AW24" s="166"/>
      <c r="AX24" s="166"/>
      <c r="AY24" s="166"/>
      <c r="AZ24" s="73"/>
      <c r="BA24" s="73"/>
      <c r="BB24" s="73"/>
      <c r="BC24" s="73"/>
      <c r="BD24" s="73"/>
      <c r="BE24" s="73"/>
      <c r="BF24" s="73"/>
      <c r="BG24" s="73"/>
      <c r="BH24" s="73"/>
      <c r="BI24" s="73"/>
    </row>
    <row r="25" spans="1:61" s="9" customFormat="1" ht="39.75" customHeight="1" thickBot="1" x14ac:dyDescent="0.35">
      <c r="A25" s="684" t="s">
        <v>644</v>
      </c>
      <c r="B25" s="2532" t="s">
        <v>1066</v>
      </c>
      <c r="C25" s="2532"/>
      <c r="D25" s="2532"/>
      <c r="E25" s="718"/>
      <c r="F25" s="686">
        <f t="shared" si="2"/>
        <v>0</v>
      </c>
      <c r="G25" s="2513">
        <v>0</v>
      </c>
      <c r="H25" s="2514"/>
      <c r="I25" s="2513">
        <v>0</v>
      </c>
      <c r="J25" s="2514"/>
      <c r="K25" s="687">
        <v>0</v>
      </c>
      <c r="L25" s="688">
        <v>0</v>
      </c>
      <c r="M25" s="668">
        <f>N25+O25+Q25+P25</f>
        <v>0</v>
      </c>
      <c r="N25" s="669">
        <v>0</v>
      </c>
      <c r="O25" s="669">
        <v>0</v>
      </c>
      <c r="P25" s="716">
        <v>0</v>
      </c>
      <c r="Q25" s="717">
        <v>0</v>
      </c>
      <c r="R25" s="2389">
        <f>T25+V25+AA25+Y25</f>
        <v>0</v>
      </c>
      <c r="S25" s="2390"/>
      <c r="T25" s="2342">
        <v>0</v>
      </c>
      <c r="U25" s="2342"/>
      <c r="V25" s="2342">
        <v>0</v>
      </c>
      <c r="W25" s="2342"/>
      <c r="X25" s="2342"/>
      <c r="Y25" s="2342">
        <v>0</v>
      </c>
      <c r="Z25" s="2342"/>
      <c r="AA25" s="2342">
        <v>0</v>
      </c>
      <c r="AB25" s="2342"/>
      <c r="AC25" s="2343"/>
      <c r="AD25" s="689">
        <f t="shared" si="3"/>
        <v>0</v>
      </c>
      <c r="AE25" s="690">
        <f>G25+T25-N25+H53</f>
        <v>0</v>
      </c>
      <c r="AF25" s="690">
        <f>I25+V25-O25</f>
        <v>0</v>
      </c>
      <c r="AG25" s="691">
        <f>K25+Y25-P25-G53</f>
        <v>0</v>
      </c>
      <c r="AH25" s="692">
        <f>L25+AA25-Q25</f>
        <v>0</v>
      </c>
      <c r="AI25" s="636">
        <f t="shared" ref="AI25:AN25" si="4">AI23-AI21</f>
        <v>0</v>
      </c>
      <c r="AJ25" s="631">
        <f t="shared" si="4"/>
        <v>0</v>
      </c>
      <c r="AK25" s="631">
        <f t="shared" si="4"/>
        <v>0</v>
      </c>
      <c r="AL25" s="643">
        <f t="shared" si="4"/>
        <v>0</v>
      </c>
      <c r="AM25" s="636">
        <f t="shared" si="4"/>
        <v>0</v>
      </c>
      <c r="AN25" s="631">
        <f t="shared" si="4"/>
        <v>0</v>
      </c>
      <c r="AO25" s="2403"/>
      <c r="AP25" s="2406"/>
      <c r="AQ25" s="2395"/>
      <c r="AR25" s="2398"/>
      <c r="AS25" s="166"/>
      <c r="AT25" s="166"/>
      <c r="AU25" s="166"/>
      <c r="AV25" s="166"/>
      <c r="AW25" s="166"/>
      <c r="AX25" s="166"/>
      <c r="AY25" s="166"/>
      <c r="AZ25" s="73"/>
      <c r="BA25" s="73"/>
      <c r="BB25" s="73"/>
      <c r="BC25" s="73"/>
      <c r="BD25" s="73"/>
      <c r="BE25" s="73"/>
      <c r="BF25" s="73"/>
      <c r="BG25" s="73"/>
      <c r="BH25" s="73"/>
      <c r="BI25" s="73"/>
    </row>
    <row r="26" spans="1:61" s="125" customFormat="1" ht="42" customHeight="1" thickBot="1" x14ac:dyDescent="0.35">
      <c r="A26" s="693"/>
      <c r="B26" s="694"/>
      <c r="C26" s="694"/>
      <c r="D26" s="694"/>
      <c r="E26" s="719"/>
      <c r="F26" s="696"/>
      <c r="G26" s="697"/>
      <c r="H26" s="697"/>
      <c r="I26" s="697"/>
      <c r="J26" s="697"/>
      <c r="K26" s="697"/>
      <c r="L26" s="697"/>
      <c r="M26" s="696"/>
      <c r="N26" s="697"/>
      <c r="O26" s="697"/>
      <c r="P26" s="697"/>
      <c r="Q26" s="698"/>
      <c r="R26" s="2353"/>
      <c r="S26" s="2354"/>
      <c r="T26" s="2354"/>
      <c r="U26" s="2354"/>
      <c r="V26" s="2354"/>
      <c r="W26" s="2354"/>
      <c r="X26" s="2354"/>
      <c r="Y26" s="2354"/>
      <c r="Z26" s="2354"/>
      <c r="AA26" s="2354"/>
      <c r="AB26" s="2354"/>
      <c r="AC26" s="2354"/>
      <c r="AD26" s="699"/>
      <c r="AE26" s="699"/>
      <c r="AF26" s="699"/>
      <c r="AG26" s="699"/>
      <c r="AH26" s="720"/>
      <c r="AI26" s="239"/>
      <c r="AJ26" s="239"/>
      <c r="AK26" s="239"/>
      <c r="AL26" s="239"/>
      <c r="AM26" s="239"/>
      <c r="AN26" s="239"/>
      <c r="AO26" s="240"/>
      <c r="AP26" s="240"/>
      <c r="AQ26" s="241"/>
      <c r="AR26" s="242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</row>
    <row r="27" spans="1:61" s="9" customFormat="1" ht="42.75" customHeight="1" thickBot="1" x14ac:dyDescent="0.35">
      <c r="A27" s="2486" t="s">
        <v>389</v>
      </c>
      <c r="B27" s="2586" t="s">
        <v>46</v>
      </c>
      <c r="C27" s="2587"/>
      <c r="D27" s="2588"/>
      <c r="E27" s="2416">
        <v>1100</v>
      </c>
      <c r="F27" s="657">
        <f>I27+L27+K27</f>
        <v>28613112</v>
      </c>
      <c r="G27" s="2534" t="s">
        <v>280</v>
      </c>
      <c r="H27" s="2535"/>
      <c r="I27" s="2654">
        <v>27030700</v>
      </c>
      <c r="J27" s="2655"/>
      <c r="K27" s="721">
        <v>0</v>
      </c>
      <c r="L27" s="721">
        <v>1582412</v>
      </c>
      <c r="M27" s="1747">
        <f>O27+Q27</f>
        <v>16485405</v>
      </c>
      <c r="N27" s="1722" t="s">
        <v>280</v>
      </c>
      <c r="O27" s="1766">
        <v>13482025</v>
      </c>
      <c r="P27" s="1721" t="s">
        <v>280</v>
      </c>
      <c r="Q27" s="1748">
        <v>3003380</v>
      </c>
      <c r="R27" s="2461">
        <f>V27+AA27+Y27</f>
        <v>14164700</v>
      </c>
      <c r="S27" s="2462"/>
      <c r="T27" s="2350" t="s">
        <v>280</v>
      </c>
      <c r="U27" s="2350"/>
      <c r="V27" s="2337">
        <v>11311300</v>
      </c>
      <c r="W27" s="2338"/>
      <c r="X27" s="2352"/>
      <c r="Y27" s="2348"/>
      <c r="Z27" s="2349"/>
      <c r="AA27" s="2337">
        <v>2853400</v>
      </c>
      <c r="AB27" s="2338"/>
      <c r="AC27" s="2339"/>
      <c r="AD27" s="861">
        <f>AF27+AH27+AG27</f>
        <v>30933817</v>
      </c>
      <c r="AE27" s="722" t="s">
        <v>280</v>
      </c>
      <c r="AF27" s="723">
        <f>I27+O27-V27</f>
        <v>29201425</v>
      </c>
      <c r="AG27" s="709">
        <f>K27-Y27</f>
        <v>0</v>
      </c>
      <c r="AH27" s="724">
        <f>L27+Q27-AA27</f>
        <v>1732392</v>
      </c>
      <c r="AO27" s="235"/>
      <c r="AP27" s="235"/>
      <c r="AS27" s="166"/>
      <c r="AT27" s="166"/>
      <c r="AU27" s="166"/>
      <c r="AV27" s="166"/>
      <c r="AW27" s="166"/>
      <c r="AX27" s="166"/>
      <c r="AY27" s="166"/>
      <c r="AZ27" s="73"/>
      <c r="BA27" s="73"/>
      <c r="BB27" s="73"/>
      <c r="BC27" s="73"/>
      <c r="BD27" s="73"/>
      <c r="BE27" s="73"/>
      <c r="BF27" s="73"/>
      <c r="BG27" s="73"/>
      <c r="BH27" s="73"/>
      <c r="BI27" s="73"/>
    </row>
    <row r="28" spans="1:61" s="9" customFormat="1" ht="117.75" customHeight="1" thickBot="1" x14ac:dyDescent="0.3">
      <c r="A28" s="2487"/>
      <c r="B28" s="2589"/>
      <c r="C28" s="2590"/>
      <c r="D28" s="2591"/>
      <c r="E28" s="2417"/>
      <c r="F28" s="2515" t="s">
        <v>280</v>
      </c>
      <c r="G28" s="2516"/>
      <c r="H28" s="2517"/>
      <c r="I28" s="1653" t="s">
        <v>2035</v>
      </c>
      <c r="J28" s="1653" t="s">
        <v>2029</v>
      </c>
      <c r="K28" s="1650"/>
      <c r="L28" s="1655"/>
      <c r="M28" s="1650" t="s">
        <v>280</v>
      </c>
      <c r="N28" s="1650"/>
      <c r="O28" s="1686" t="s">
        <v>2075</v>
      </c>
      <c r="P28" s="1650"/>
      <c r="Q28" s="1655"/>
      <c r="R28" s="725" t="s">
        <v>744</v>
      </c>
      <c r="S28" s="726" t="s">
        <v>745</v>
      </c>
      <c r="T28" s="2351"/>
      <c r="U28" s="2351"/>
      <c r="V28" s="727" t="s">
        <v>744</v>
      </c>
      <c r="W28" s="726" t="s">
        <v>745</v>
      </c>
      <c r="X28" s="1659" t="s">
        <v>2048</v>
      </c>
      <c r="Y28" s="727" t="s">
        <v>744</v>
      </c>
      <c r="Z28" s="726" t="s">
        <v>745</v>
      </c>
      <c r="AA28" s="727" t="s">
        <v>744</v>
      </c>
      <c r="AB28" s="726" t="s">
        <v>745</v>
      </c>
      <c r="AC28" s="1657" t="s">
        <v>2057</v>
      </c>
      <c r="AD28" s="2635" t="s">
        <v>746</v>
      </c>
      <c r="AE28" s="2636"/>
      <c r="AF28" s="728">
        <f>AF27+W29</f>
        <v>29201425</v>
      </c>
      <c r="AG28" s="729"/>
      <c r="AO28" s="235"/>
      <c r="AP28" s="235"/>
      <c r="AS28" s="166"/>
      <c r="AT28" s="166"/>
      <c r="AU28" s="166"/>
      <c r="AV28" s="166"/>
      <c r="AW28" s="166"/>
      <c r="AX28" s="166"/>
      <c r="AY28" s="166"/>
      <c r="AZ28" s="73"/>
      <c r="BA28" s="73"/>
      <c r="BB28" s="73"/>
      <c r="BC28" s="73"/>
      <c r="BD28" s="73"/>
      <c r="BE28" s="73"/>
      <c r="BF28" s="73"/>
      <c r="BG28" s="73"/>
      <c r="BH28" s="73"/>
      <c r="BI28" s="73"/>
    </row>
    <row r="29" spans="1:61" s="9" customFormat="1" ht="35.25" customHeight="1" thickBot="1" x14ac:dyDescent="0.35">
      <c r="A29" s="2488"/>
      <c r="B29" s="2592"/>
      <c r="C29" s="2593"/>
      <c r="D29" s="2594"/>
      <c r="E29" s="2418"/>
      <c r="F29" s="2518"/>
      <c r="G29" s="2519"/>
      <c r="H29" s="2520"/>
      <c r="I29" s="1652">
        <f>I27-J29</f>
        <v>27030700</v>
      </c>
      <c r="J29" s="1652">
        <f>'Звіт Пацієнт '!I53*1000</f>
        <v>0</v>
      </c>
      <c r="K29" s="1651"/>
      <c r="L29" s="1656"/>
      <c r="M29" s="1651"/>
      <c r="N29" s="1651"/>
      <c r="O29" s="1652">
        <f>'Звіт Пацієнт '!J25</f>
        <v>0</v>
      </c>
      <c r="P29" s="1651"/>
      <c r="Q29" s="1656"/>
      <c r="R29" s="1566">
        <f>V29+Y29+AA29</f>
        <v>0</v>
      </c>
      <c r="S29" s="1567">
        <f>W29+Z29+AB29</f>
        <v>0</v>
      </c>
      <c r="T29" s="2351"/>
      <c r="U29" s="2351"/>
      <c r="V29" s="1562">
        <v>0</v>
      </c>
      <c r="W29" s="1644">
        <v>0</v>
      </c>
      <c r="X29" s="677">
        <f>'Звіт   4,5,6'!Q42+M77</f>
        <v>0</v>
      </c>
      <c r="Y29" s="1562">
        <v>0</v>
      </c>
      <c r="Z29" s="1562">
        <v>0</v>
      </c>
      <c r="AA29" s="1562">
        <v>0</v>
      </c>
      <c r="AB29" s="1562">
        <v>0</v>
      </c>
      <c r="AC29" s="1658">
        <f>'Звіт Пацієнт '!J25</f>
        <v>0</v>
      </c>
      <c r="AD29" s="2623"/>
      <c r="AE29" s="2624"/>
      <c r="AF29" s="1693"/>
      <c r="AG29" s="729"/>
      <c r="AH29" s="729"/>
      <c r="AI29" s="267"/>
      <c r="AO29" s="235"/>
      <c r="AP29" s="235"/>
      <c r="AS29" s="166"/>
      <c r="AT29" s="166"/>
      <c r="AU29" s="166"/>
      <c r="AV29" s="166"/>
      <c r="AW29" s="166"/>
      <c r="AX29" s="166"/>
      <c r="AY29" s="166"/>
      <c r="AZ29" s="73"/>
      <c r="BA29" s="73"/>
      <c r="BB29" s="73"/>
      <c r="BC29" s="73"/>
      <c r="BD29" s="73"/>
      <c r="BE29" s="73"/>
      <c r="BF29" s="73"/>
      <c r="BG29" s="73"/>
      <c r="BH29" s="73"/>
      <c r="BI29" s="73"/>
    </row>
    <row r="30" spans="1:61" s="29" customFormat="1" ht="33" customHeight="1" thickBot="1" x14ac:dyDescent="0.4">
      <c r="A30" s="2489" t="s">
        <v>527</v>
      </c>
      <c r="B30" s="2490"/>
      <c r="C30" s="2490"/>
      <c r="D30" s="2490"/>
      <c r="E30" s="2491"/>
      <c r="F30" s="2492" t="s">
        <v>528</v>
      </c>
      <c r="G30" s="2361"/>
      <c r="H30" s="2361"/>
      <c r="I30" s="2361"/>
      <c r="J30" s="2341"/>
      <c r="K30" s="2399" t="s">
        <v>529</v>
      </c>
      <c r="L30" s="2645" t="s">
        <v>530</v>
      </c>
      <c r="M30" s="2341" t="s">
        <v>658</v>
      </c>
      <c r="N30" s="2399"/>
      <c r="O30" s="2399"/>
      <c r="P30" s="2399"/>
      <c r="Q30" s="2457"/>
      <c r="R30" s="2355" t="s">
        <v>712</v>
      </c>
      <c r="S30" s="2356"/>
      <c r="T30" s="2356"/>
      <c r="U30" s="2356"/>
      <c r="V30" s="2356"/>
      <c r="W30" s="2356"/>
      <c r="X30" s="2357"/>
      <c r="Y30" s="2356"/>
      <c r="Z30" s="2356"/>
      <c r="AA30" s="2356"/>
      <c r="AB30" s="2356"/>
      <c r="AC30" s="2358"/>
      <c r="AD30" s="2639" t="s">
        <v>531</v>
      </c>
      <c r="AE30" s="2640"/>
      <c r="AF30" s="2641"/>
      <c r="AG30" s="2451" t="s">
        <v>941</v>
      </c>
      <c r="AH30" s="2452"/>
      <c r="AI30" s="267"/>
      <c r="AJ30" s="253"/>
      <c r="AK30" s="253"/>
      <c r="AL30" s="253"/>
      <c r="AM30" s="253"/>
      <c r="AN30" s="253"/>
      <c r="AO30" s="253"/>
      <c r="AP30" s="253"/>
      <c r="AQ30" s="168"/>
      <c r="AR30" s="168"/>
      <c r="AS30" s="168"/>
      <c r="AT30" s="168"/>
      <c r="AU30" s="168"/>
      <c r="AV30" s="168"/>
      <c r="AW30" s="168"/>
      <c r="AX30" s="168"/>
      <c r="AY30" s="168"/>
      <c r="AZ30" s="87"/>
      <c r="BA30" s="87"/>
      <c r="BB30" s="87"/>
      <c r="BC30" s="87"/>
      <c r="BD30" s="87"/>
      <c r="BE30" s="87"/>
      <c r="BF30" s="87"/>
      <c r="BG30" s="87"/>
      <c r="BH30" s="87"/>
      <c r="BI30" s="87"/>
    </row>
    <row r="31" spans="1:61" s="29" customFormat="1" ht="129.75" customHeight="1" x14ac:dyDescent="0.35">
      <c r="A31" s="251"/>
      <c r="B31" s="2414" t="s">
        <v>659</v>
      </c>
      <c r="C31" s="2414"/>
      <c r="D31" s="2414"/>
      <c r="E31" s="2415"/>
      <c r="F31" s="1720" t="s">
        <v>656</v>
      </c>
      <c r="G31" s="2656"/>
      <c r="H31" s="2657"/>
      <c r="I31" s="2340" t="s">
        <v>657</v>
      </c>
      <c r="J31" s="2341"/>
      <c r="K31" s="2399"/>
      <c r="L31" s="2645"/>
      <c r="M31" s="1714" t="s">
        <v>2038</v>
      </c>
      <c r="N31" s="1718"/>
      <c r="O31" s="1715" t="s">
        <v>2049</v>
      </c>
      <c r="P31" s="732" t="s">
        <v>532</v>
      </c>
      <c r="Q31" s="1716" t="s">
        <v>2071</v>
      </c>
      <c r="R31" s="2460" t="s">
        <v>247</v>
      </c>
      <c r="S31" s="2399"/>
      <c r="T31" s="2637"/>
      <c r="U31" s="2637"/>
      <c r="V31" s="1563" t="s">
        <v>741</v>
      </c>
      <c r="W31" s="2340" t="s">
        <v>740</v>
      </c>
      <c r="X31" s="2341"/>
      <c r="Y31" s="2622" t="s">
        <v>743</v>
      </c>
      <c r="Z31" s="2622"/>
      <c r="AA31" s="2340" t="s">
        <v>742</v>
      </c>
      <c r="AB31" s="2361"/>
      <c r="AC31" s="1716" t="s">
        <v>2057</v>
      </c>
      <c r="AD31" s="862" t="s">
        <v>656</v>
      </c>
      <c r="AE31" s="733"/>
      <c r="AF31" s="734" t="s">
        <v>657</v>
      </c>
      <c r="AG31" s="2453"/>
      <c r="AH31" s="2454"/>
      <c r="AI31" s="267"/>
      <c r="AJ31" s="253"/>
      <c r="AK31" s="253"/>
      <c r="AL31" s="253"/>
      <c r="AM31" s="253"/>
      <c r="AN31" s="253"/>
      <c r="AO31" s="253"/>
      <c r="AP31" s="253"/>
      <c r="AQ31" s="168"/>
      <c r="AR31" s="168"/>
      <c r="AS31" s="168"/>
      <c r="AT31" s="168"/>
      <c r="AU31" s="168"/>
      <c r="AV31" s="168"/>
      <c r="AW31" s="168"/>
      <c r="AX31" s="168"/>
      <c r="AY31" s="168"/>
      <c r="AZ31" s="87"/>
      <c r="BA31" s="87"/>
      <c r="BB31" s="87"/>
      <c r="BC31" s="87"/>
      <c r="BD31" s="87"/>
      <c r="BE31" s="87"/>
      <c r="BF31" s="87"/>
      <c r="BG31" s="87"/>
      <c r="BH31" s="87"/>
      <c r="BI31" s="87"/>
    </row>
    <row r="32" spans="1:61" s="29" customFormat="1" ht="26.65" customHeight="1" thickBot="1" x14ac:dyDescent="0.4">
      <c r="A32" s="735"/>
      <c r="B32" s="2562" t="s">
        <v>660</v>
      </c>
      <c r="C32" s="2562"/>
      <c r="D32" s="2562"/>
      <c r="E32" s="2563"/>
      <c r="F32" s="736">
        <f>'Звіт   9'!H30</f>
        <v>28613.1</v>
      </c>
      <c r="G32" s="2652" t="s">
        <v>280</v>
      </c>
      <c r="H32" s="2653"/>
      <c r="I32" s="2646">
        <f>'Звіт   9'!H74</f>
        <v>27030.7</v>
      </c>
      <c r="J32" s="2647"/>
      <c r="K32" s="1687">
        <f>K27/1000</f>
        <v>0</v>
      </c>
      <c r="L32" s="1688">
        <f>F32-I32-K32</f>
        <v>1582.4</v>
      </c>
      <c r="M32" s="1689">
        <f>'Звіт 1,2,3'!G29/1000+'Звіт Пацієнт '!J25/1000</f>
        <v>16485.400000000001</v>
      </c>
      <c r="N32" s="1719" t="s">
        <v>280</v>
      </c>
      <c r="O32" s="1687">
        <f>('Звіт 1,2,3'!I29+'Звіт 1,2,3'!J29+'Звіт 1,2,3'!K29+'Звіт 1,2,3'!L29+'Звіт 1,2,3'!M29+'Звіт 1,2,3'!P29)/1000</f>
        <v>13482</v>
      </c>
      <c r="P32" s="1719" t="s">
        <v>280</v>
      </c>
      <c r="Q32" s="1688">
        <f>('Звіт 1,2,3'!H29+'Звіт 1,2,3'!S29)/1000</f>
        <v>3003.4</v>
      </c>
      <c r="R32" s="2359">
        <f>V32+W32+Y32+AA32</f>
        <v>14164.7</v>
      </c>
      <c r="S32" s="2360"/>
      <c r="T32" s="2638" t="s">
        <v>280</v>
      </c>
      <c r="U32" s="2638"/>
      <c r="V32" s="1694">
        <f>('Звіт   4,5,6'!O47+'Звіт   4,5,6'!O56+'Звіт   4,5,6'!O55+'Звіт   4,5,6'!O57+'Звіт   4,5,6'!O58+'Звіт   4,5,6'!O60+'Звіт   4,5,6'!O61+'Звіт   4,5,6'!O54+'Звіт   4,5,6'!O69)/1000</f>
        <v>11311.3</v>
      </c>
      <c r="W32" s="2386">
        <f>I77/1000</f>
        <v>0</v>
      </c>
      <c r="X32" s="2387"/>
      <c r="Y32" s="2360">
        <f>('Звіт   4,5,6'!W46+'Звіт   4,5,6'!Y46+'Звіт   4,5,6'!AE46+'Звіт   4,5,6'!AA46)/1000</f>
        <v>2853.4</v>
      </c>
      <c r="Z32" s="2360"/>
      <c r="AA32" s="2362">
        <f>('Звіт   4,5,6'!H34+'Звіт   4,5,6'!H35)/1000</f>
        <v>0</v>
      </c>
      <c r="AB32" s="2363"/>
      <c r="AC32" s="1749">
        <f>AC29/1000</f>
        <v>0</v>
      </c>
      <c r="AD32" s="671">
        <f>'Звіт   9'!K30</f>
        <v>30933.8</v>
      </c>
      <c r="AE32" s="737" t="s">
        <v>280</v>
      </c>
      <c r="AF32" s="738">
        <f>'Звіт   9'!K74</f>
        <v>29201.4</v>
      </c>
      <c r="AG32" s="2455"/>
      <c r="AH32" s="2456"/>
      <c r="AI32" s="267"/>
      <c r="AJ32" s="253"/>
      <c r="AK32" s="253"/>
      <c r="AL32" s="253"/>
      <c r="AM32" s="253"/>
      <c r="AN32" s="253"/>
      <c r="AO32" s="253"/>
      <c r="AP32" s="253"/>
      <c r="AQ32" s="168"/>
      <c r="AR32" s="168"/>
      <c r="AS32" s="168"/>
      <c r="AT32" s="168"/>
      <c r="AU32" s="168"/>
      <c r="AV32" s="168"/>
      <c r="AW32" s="168"/>
      <c r="AX32" s="168"/>
      <c r="AY32" s="168"/>
      <c r="AZ32" s="87"/>
      <c r="BA32" s="87"/>
      <c r="BB32" s="87"/>
      <c r="BC32" s="87"/>
      <c r="BD32" s="87"/>
      <c r="BE32" s="87"/>
      <c r="BF32" s="87"/>
      <c r="BG32" s="87"/>
      <c r="BH32" s="87"/>
      <c r="BI32" s="87"/>
    </row>
    <row r="33" spans="1:61" s="29" customFormat="1" ht="25.5" customHeight="1" thickBot="1" x14ac:dyDescent="0.4">
      <c r="A33" s="2564" t="s">
        <v>711</v>
      </c>
      <c r="B33" s="2565"/>
      <c r="C33" s="2565"/>
      <c r="D33" s="2565"/>
      <c r="E33" s="2565"/>
      <c r="F33" s="739">
        <f>F32-F27/1000</f>
        <v>0</v>
      </c>
      <c r="G33" s="2374" t="s">
        <v>280</v>
      </c>
      <c r="H33" s="2659"/>
      <c r="I33" s="2642">
        <f>I32-I27/1000</f>
        <v>0</v>
      </c>
      <c r="J33" s="2644"/>
      <c r="K33" s="1690">
        <f>K32-K27/1000</f>
        <v>0</v>
      </c>
      <c r="L33" s="1691">
        <f>L32-L27/1000</f>
        <v>0</v>
      </c>
      <c r="M33" s="1692">
        <f>M32-M27/1000</f>
        <v>0</v>
      </c>
      <c r="N33" s="1717" t="s">
        <v>280</v>
      </c>
      <c r="O33" s="1690">
        <f>O32-O27/1000</f>
        <v>0</v>
      </c>
      <c r="P33" s="1717" t="s">
        <v>280</v>
      </c>
      <c r="Q33" s="1691">
        <f>Q32-Q27/1000</f>
        <v>0</v>
      </c>
      <c r="R33" s="2335">
        <f>R32+AC29/1000-R27/1000+R29/1000+S29/1000</f>
        <v>0</v>
      </c>
      <c r="S33" s="2336"/>
      <c r="T33" s="2336" t="s">
        <v>280</v>
      </c>
      <c r="U33" s="2336"/>
      <c r="V33" s="2642">
        <f>V32-V27/1000+V29/1000+W29/1000+W32</f>
        <v>0</v>
      </c>
      <c r="W33" s="2643"/>
      <c r="X33" s="2644"/>
      <c r="Y33" s="2374">
        <f>Y32-(Y27+AA27)/1000+(Y29+Z29+AA29+AB29+AC32+AC29)/1000</f>
        <v>0</v>
      </c>
      <c r="Z33" s="2375"/>
      <c r="AA33" s="2375"/>
      <c r="AB33" s="2375"/>
      <c r="AC33" s="2376"/>
      <c r="AD33" s="863">
        <f>AD32-AD27/1000</f>
        <v>0</v>
      </c>
      <c r="AE33" s="737" t="s">
        <v>280</v>
      </c>
      <c r="AF33" s="740">
        <f>AF32-AF28/1000</f>
        <v>0</v>
      </c>
      <c r="AG33" s="2620" t="str">
        <f>IF('Звіт   4,5,6'!E43=0,"Дані не введено",IF(AND(AD33&lt;=1,AD33&gt;=-1,AF33&lt;=1,AF33&gt;=-1,R33&lt;=1,R33&gt;=-1,V33&lt;=1,V33&gt;=-1,Y33&lt;=1,Y33&gt;=-1,M33&lt;=1,M33&gt;=-1,O33&lt;=1,O33&gt;=-1,F33&lt;=1,F33&gt;=-1,I33&lt;=1,I33&gt;=-1,AF35&lt;=1,AF35&gt;=-1),"ПРАВДА","ПОМИЛКА"))</f>
        <v>ПРАВДА</v>
      </c>
      <c r="AH33" s="2621"/>
      <c r="AI33" s="267"/>
      <c r="AJ33" s="253"/>
      <c r="AK33" s="253"/>
      <c r="AL33" s="253"/>
      <c r="AM33" s="253"/>
      <c r="AN33" s="253"/>
      <c r="AO33" s="253"/>
      <c r="AP33" s="253"/>
      <c r="AQ33" s="168"/>
      <c r="AR33" s="168"/>
      <c r="AS33" s="168"/>
      <c r="AT33" s="168"/>
      <c r="AU33" s="168"/>
      <c r="AV33" s="168"/>
      <c r="AW33" s="168"/>
      <c r="AX33" s="168"/>
      <c r="AY33" s="168"/>
      <c r="AZ33" s="87"/>
      <c r="BA33" s="87"/>
      <c r="BB33" s="87"/>
      <c r="BC33" s="87"/>
      <c r="BD33" s="87"/>
      <c r="BE33" s="87"/>
      <c r="BF33" s="87"/>
      <c r="BG33" s="87"/>
      <c r="BH33" s="87"/>
      <c r="BI33" s="87"/>
    </row>
    <row r="34" spans="1:61" s="29" customFormat="1" ht="45" customHeight="1" x14ac:dyDescent="0.3">
      <c r="A34" s="741" t="s">
        <v>428</v>
      </c>
      <c r="B34" s="742"/>
      <c r="C34" s="742"/>
      <c r="D34" s="742"/>
      <c r="E34" s="742"/>
      <c r="F34" s="743"/>
      <c r="G34" s="743"/>
      <c r="H34" s="743"/>
      <c r="I34" s="744"/>
      <c r="J34" s="744"/>
      <c r="K34" s="744"/>
      <c r="L34" s="864"/>
      <c r="M34" s="865">
        <f>M27/1000-M32</f>
        <v>0</v>
      </c>
      <c r="N34" s="866"/>
      <c r="O34" s="865"/>
      <c r="P34" s="866"/>
      <c r="Q34" s="865"/>
      <c r="R34" s="867"/>
      <c r="S34" s="867"/>
      <c r="T34" s="867"/>
      <c r="U34" s="867"/>
      <c r="V34" s="867"/>
      <c r="W34" s="867"/>
      <c r="X34" s="867"/>
      <c r="Y34" s="868"/>
      <c r="Z34" s="868"/>
      <c r="AA34" s="867"/>
      <c r="AB34" s="867"/>
      <c r="AC34" s="1641"/>
      <c r="AD34" s="2625" t="s">
        <v>756</v>
      </c>
      <c r="AE34" s="2626"/>
      <c r="AF34" s="745">
        <f>I32+O32-V32-W32-V29/1000</f>
        <v>29201.4</v>
      </c>
      <c r="AG34" s="746"/>
      <c r="AH34" s="746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87"/>
      <c r="BA34" s="87"/>
      <c r="BB34" s="87"/>
      <c r="BC34" s="87"/>
      <c r="BD34" s="87"/>
      <c r="BE34" s="87"/>
      <c r="BF34" s="87"/>
      <c r="BG34" s="87"/>
      <c r="BH34" s="87"/>
      <c r="BI34" s="87"/>
    </row>
    <row r="35" spans="1:61" s="29" customFormat="1" ht="22.5" customHeight="1" thickBot="1" x14ac:dyDescent="0.35">
      <c r="A35" s="747" t="s">
        <v>641</v>
      </c>
      <c r="B35" s="742"/>
      <c r="C35" s="742"/>
      <c r="D35" s="742"/>
      <c r="E35" s="742"/>
      <c r="F35" s="743"/>
      <c r="G35" s="743"/>
      <c r="H35" s="743"/>
      <c r="I35" s="744"/>
      <c r="J35" s="744"/>
      <c r="K35" s="744"/>
      <c r="L35" s="849"/>
      <c r="M35" s="850"/>
      <c r="N35" s="851"/>
      <c r="O35" s="850"/>
      <c r="P35" s="851"/>
      <c r="Q35" s="850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1642"/>
      <c r="AD35" s="2627"/>
      <c r="AE35" s="2628"/>
      <c r="AF35" s="748">
        <f>AF32-AF34</f>
        <v>0</v>
      </c>
      <c r="AG35" s="749"/>
      <c r="AH35" s="750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87"/>
      <c r="BA35" s="87"/>
      <c r="BB35" s="87"/>
      <c r="BC35" s="87"/>
      <c r="BD35" s="87"/>
      <c r="BE35" s="87"/>
      <c r="BF35" s="87"/>
      <c r="BG35" s="87"/>
      <c r="BH35" s="87"/>
      <c r="BI35" s="87"/>
    </row>
    <row r="36" spans="1:61" s="29" customFormat="1" ht="22.5" customHeight="1" x14ac:dyDescent="0.35">
      <c r="A36" s="219"/>
      <c r="B36" s="221"/>
      <c r="C36" s="221"/>
      <c r="D36" s="221"/>
      <c r="E36" s="221"/>
      <c r="F36" s="222"/>
      <c r="G36" s="222"/>
      <c r="H36" s="222"/>
      <c r="I36" s="220"/>
      <c r="J36" s="220"/>
      <c r="K36" s="220"/>
      <c r="L36" s="847"/>
      <c r="M36" s="852"/>
      <c r="N36" s="853"/>
      <c r="O36" s="852"/>
      <c r="P36" s="853"/>
      <c r="Q36" s="854"/>
      <c r="R36" s="855"/>
      <c r="S36" s="856"/>
      <c r="T36" s="856"/>
      <c r="U36" s="856"/>
      <c r="V36" s="856"/>
      <c r="W36" s="856"/>
      <c r="X36" s="856"/>
      <c r="Y36" s="856"/>
      <c r="Z36" s="856"/>
      <c r="AA36" s="856"/>
      <c r="AB36" s="856"/>
      <c r="AC36" s="1643"/>
      <c r="AD36" s="407"/>
      <c r="AE36" s="407"/>
      <c r="AF36" s="408"/>
      <c r="AG36" s="238"/>
      <c r="AH36" s="266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87"/>
      <c r="BA36" s="87"/>
      <c r="BB36" s="87"/>
      <c r="BC36" s="87"/>
      <c r="BD36" s="87"/>
      <c r="BE36" s="87"/>
      <c r="BF36" s="87"/>
      <c r="BG36" s="87"/>
      <c r="BH36" s="87"/>
      <c r="BI36" s="87"/>
    </row>
    <row r="37" spans="1:61" s="29" customFormat="1" ht="61.5" customHeight="1" x14ac:dyDescent="0.35">
      <c r="A37" s="2555" t="s">
        <v>1195</v>
      </c>
      <c r="B37" s="2555"/>
      <c r="C37" s="2555"/>
      <c r="D37" s="2555"/>
      <c r="E37" s="2555"/>
      <c r="F37" s="2555"/>
      <c r="G37" s="2555"/>
      <c r="H37" s="2555"/>
      <c r="I37" s="2555"/>
      <c r="J37" s="2555"/>
      <c r="K37" s="2555"/>
      <c r="L37" s="857"/>
      <c r="M37" s="857"/>
      <c r="N37" s="857"/>
      <c r="O37" s="857"/>
      <c r="P37" s="857"/>
      <c r="Q37" s="854"/>
      <c r="R37" s="855"/>
      <c r="S37" s="856"/>
      <c r="T37" s="856"/>
      <c r="U37" s="856"/>
      <c r="V37" s="856"/>
      <c r="W37" s="856"/>
      <c r="X37" s="856"/>
      <c r="Y37" s="856"/>
      <c r="Z37" s="856"/>
      <c r="AA37" s="856"/>
      <c r="AB37" s="856"/>
      <c r="AC37" s="1643"/>
      <c r="AD37" s="407"/>
      <c r="AE37" s="407"/>
      <c r="AF37" s="408"/>
      <c r="AG37" s="238"/>
      <c r="AH37" s="266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87"/>
      <c r="BA37" s="87"/>
      <c r="BB37" s="87"/>
      <c r="BC37" s="87"/>
      <c r="BD37" s="87"/>
      <c r="BE37" s="87"/>
      <c r="BF37" s="87"/>
      <c r="BG37" s="87"/>
      <c r="BH37" s="87"/>
      <c r="BI37" s="87"/>
    </row>
    <row r="38" spans="1:61" s="29" customFormat="1" ht="22.5" customHeight="1" thickBot="1" x14ac:dyDescent="0.4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K38" s="409" t="s">
        <v>248</v>
      </c>
      <c r="L38" s="858"/>
      <c r="M38" s="847"/>
      <c r="N38" s="853"/>
      <c r="O38" s="852"/>
      <c r="P38" s="853"/>
      <c r="Q38" s="854"/>
      <c r="R38" s="855"/>
      <c r="S38" s="856"/>
      <c r="T38" s="856"/>
      <c r="U38" s="856"/>
      <c r="V38" s="856"/>
      <c r="W38" s="856"/>
      <c r="X38" s="856"/>
      <c r="Y38" s="856"/>
      <c r="Z38" s="856"/>
      <c r="AA38" s="856"/>
      <c r="AB38" s="856"/>
      <c r="AC38" s="1643"/>
      <c r="AD38" s="407"/>
      <c r="AE38" s="407"/>
      <c r="AF38" s="408"/>
      <c r="AG38" s="238"/>
      <c r="AH38" s="266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87"/>
      <c r="BA38" s="87"/>
      <c r="BB38" s="87"/>
      <c r="BC38" s="87"/>
      <c r="BD38" s="87"/>
      <c r="BE38" s="87"/>
      <c r="BF38" s="87"/>
      <c r="BG38" s="87"/>
      <c r="BH38" s="87"/>
      <c r="BI38" s="87"/>
    </row>
    <row r="39" spans="1:61" s="29" customFormat="1" ht="30.75" customHeight="1" x14ac:dyDescent="0.35">
      <c r="A39" s="2477" t="s">
        <v>37</v>
      </c>
      <c r="B39" s="2463" t="s">
        <v>412</v>
      </c>
      <c r="C39" s="2463"/>
      <c r="D39" s="2463"/>
      <c r="E39" s="2575" t="s">
        <v>375</v>
      </c>
      <c r="F39" s="2503" t="s">
        <v>373</v>
      </c>
      <c r="G39" s="2503"/>
      <c r="H39" s="2503" t="s">
        <v>374</v>
      </c>
      <c r="I39" s="2503"/>
      <c r="J39" s="2503" t="s">
        <v>754</v>
      </c>
      <c r="K39" s="2504"/>
      <c r="L39" s="847"/>
      <c r="M39" s="847"/>
      <c r="N39" s="847"/>
      <c r="O39" s="847"/>
      <c r="P39" s="847"/>
      <c r="Q39" s="848"/>
      <c r="R39" s="848"/>
      <c r="S39" s="847"/>
      <c r="T39" s="847"/>
      <c r="U39" s="847"/>
      <c r="V39" s="847"/>
      <c r="W39" s="847"/>
      <c r="X39" s="847"/>
      <c r="Y39" s="847"/>
      <c r="Z39" s="847"/>
      <c r="AA39" s="847"/>
      <c r="AB39" s="847"/>
      <c r="AC39" s="168"/>
      <c r="AD39" s="168"/>
      <c r="AE39" s="87"/>
      <c r="AF39" s="87"/>
      <c r="AG39" s="87"/>
      <c r="AH39" s="87"/>
      <c r="AI39" s="87"/>
      <c r="AJ39" s="87"/>
      <c r="AK39" s="87"/>
      <c r="AL39" s="87"/>
      <c r="AM39" s="87"/>
      <c r="AN39" s="87"/>
    </row>
    <row r="40" spans="1:61" s="29" customFormat="1" ht="66" customHeight="1" thickBot="1" x14ac:dyDescent="0.4">
      <c r="A40" s="2597"/>
      <c r="B40" s="2574"/>
      <c r="C40" s="2574"/>
      <c r="D40" s="2574"/>
      <c r="E40" s="2576"/>
      <c r="F40" s="751" t="str">
        <f>G8</f>
        <v>Безоплатно отримані</v>
      </c>
      <c r="G40" s="751" t="str">
        <f>K8</f>
        <v>Отримано як статутний капітал</v>
      </c>
      <c r="H40" s="751" t="str">
        <f>F40</f>
        <v>Безоплатно отримані</v>
      </c>
      <c r="I40" s="751" t="str">
        <f>G40</f>
        <v>Отримано як статутний капітал</v>
      </c>
      <c r="J40" s="751" t="str">
        <f>H40</f>
        <v>Безоплатно отримані</v>
      </c>
      <c r="K40" s="841" t="str">
        <f>G40</f>
        <v>Отримано як статутний капітал</v>
      </c>
      <c r="L40" s="847"/>
      <c r="M40" s="847"/>
      <c r="N40" s="847"/>
      <c r="O40" s="847"/>
      <c r="P40" s="847"/>
      <c r="Q40" s="848"/>
      <c r="R40" s="848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168"/>
      <c r="AD40" s="168"/>
      <c r="AE40" s="87"/>
      <c r="AF40" s="87"/>
      <c r="AG40" s="87"/>
      <c r="AH40" s="87"/>
      <c r="AI40" s="87"/>
      <c r="AJ40" s="87"/>
      <c r="AK40" s="87"/>
      <c r="AL40" s="87"/>
      <c r="AM40" s="87"/>
      <c r="AN40" s="87"/>
    </row>
    <row r="41" spans="1:61" s="29" customFormat="1" ht="22.5" customHeight="1" thickBot="1" x14ac:dyDescent="0.4">
      <c r="A41" s="752">
        <v>1</v>
      </c>
      <c r="B41" s="2577">
        <v>2</v>
      </c>
      <c r="C41" s="2577"/>
      <c r="D41" s="2577"/>
      <c r="E41" s="753">
        <v>3</v>
      </c>
      <c r="F41" s="753">
        <v>4</v>
      </c>
      <c r="G41" s="753">
        <v>5</v>
      </c>
      <c r="H41" s="753">
        <v>6</v>
      </c>
      <c r="I41" s="753">
        <v>7</v>
      </c>
      <c r="J41" s="753">
        <v>8</v>
      </c>
      <c r="K41" s="842">
        <v>9</v>
      </c>
      <c r="L41" s="847"/>
      <c r="M41" s="847"/>
      <c r="N41" s="847"/>
      <c r="O41" s="847"/>
      <c r="P41" s="847"/>
      <c r="Q41" s="848"/>
      <c r="R41" s="848"/>
      <c r="S41" s="847"/>
      <c r="T41" s="847"/>
      <c r="U41" s="847"/>
      <c r="V41" s="847"/>
      <c r="W41" s="847"/>
      <c r="X41" s="847"/>
      <c r="Y41" s="847"/>
      <c r="Z41" s="847"/>
      <c r="AA41" s="847"/>
      <c r="AB41" s="847"/>
      <c r="AC41" s="168"/>
      <c r="AD41" s="168"/>
      <c r="AE41" s="87"/>
      <c r="AF41" s="87"/>
      <c r="AG41" s="87"/>
      <c r="AH41" s="87"/>
      <c r="AI41" s="87"/>
      <c r="AJ41" s="87"/>
      <c r="AK41" s="87"/>
      <c r="AL41" s="87"/>
      <c r="AM41" s="87"/>
      <c r="AN41" s="87"/>
    </row>
    <row r="42" spans="1:61" s="29" customFormat="1" ht="27" customHeight="1" x14ac:dyDescent="0.35">
      <c r="A42" s="754" t="s">
        <v>382</v>
      </c>
      <c r="B42" s="2572" t="s">
        <v>400</v>
      </c>
      <c r="C42" s="2572"/>
      <c r="D42" s="2572"/>
      <c r="E42" s="755">
        <v>1000</v>
      </c>
      <c r="F42" s="2583" t="s">
        <v>280</v>
      </c>
      <c r="G42" s="2583"/>
      <c r="H42" s="2583"/>
      <c r="I42" s="2583"/>
      <c r="J42" s="756">
        <f>J43-J44</f>
        <v>0</v>
      </c>
      <c r="K42" s="843">
        <f>K43-K44</f>
        <v>0</v>
      </c>
      <c r="L42" s="847"/>
      <c r="M42" s="847"/>
      <c r="N42" s="847"/>
      <c r="O42" s="847"/>
      <c r="P42" s="847"/>
      <c r="Q42" s="848"/>
      <c r="R42" s="848"/>
      <c r="S42" s="847"/>
      <c r="T42" s="847"/>
      <c r="U42" s="847"/>
      <c r="V42" s="847"/>
      <c r="W42" s="847"/>
      <c r="X42" s="847"/>
      <c r="Y42" s="847"/>
      <c r="Z42" s="847"/>
      <c r="AA42" s="847"/>
      <c r="AB42" s="847"/>
      <c r="AC42" s="168"/>
      <c r="AD42" s="168"/>
      <c r="AE42" s="87"/>
      <c r="AF42" s="87"/>
      <c r="AG42" s="87"/>
      <c r="AH42" s="87"/>
      <c r="AI42" s="87"/>
      <c r="AJ42" s="87"/>
      <c r="AK42" s="87"/>
      <c r="AL42" s="87"/>
      <c r="AM42" s="87"/>
      <c r="AN42" s="87"/>
    </row>
    <row r="43" spans="1:61" s="29" customFormat="1" ht="51" customHeight="1" x14ac:dyDescent="0.35">
      <c r="A43" s="757" t="s">
        <v>384</v>
      </c>
      <c r="B43" s="2493" t="s">
        <v>414</v>
      </c>
      <c r="C43" s="2493"/>
      <c r="D43" s="2493"/>
      <c r="E43" s="758">
        <v>1001</v>
      </c>
      <c r="F43" s="759">
        <f>I43</f>
        <v>0</v>
      </c>
      <c r="G43" s="760" t="s">
        <v>280</v>
      </c>
      <c r="H43" s="761" t="s">
        <v>280</v>
      </c>
      <c r="I43" s="762">
        <v>0</v>
      </c>
      <c r="J43" s="730">
        <f>F43</f>
        <v>0</v>
      </c>
      <c r="K43" s="844">
        <f>-I43</f>
        <v>0</v>
      </c>
      <c r="L43" s="847"/>
      <c r="M43" s="847"/>
      <c r="N43" s="847"/>
      <c r="O43" s="847"/>
      <c r="P43" s="847"/>
      <c r="Q43" s="848"/>
      <c r="R43" s="848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168"/>
      <c r="AD43" s="168"/>
      <c r="AE43" s="87"/>
      <c r="AF43" s="87"/>
      <c r="AG43" s="87"/>
      <c r="AH43" s="87"/>
      <c r="AI43" s="87"/>
      <c r="AJ43" s="87"/>
      <c r="AK43" s="87"/>
      <c r="AL43" s="87"/>
      <c r="AM43" s="87"/>
      <c r="AN43" s="87"/>
    </row>
    <row r="44" spans="1:61" s="29" customFormat="1" ht="36" customHeight="1" x14ac:dyDescent="0.3">
      <c r="A44" s="757" t="s">
        <v>385</v>
      </c>
      <c r="B44" s="2493" t="s">
        <v>401</v>
      </c>
      <c r="C44" s="2493"/>
      <c r="D44" s="2493"/>
      <c r="E44" s="763">
        <v>1002</v>
      </c>
      <c r="F44" s="760" t="s">
        <v>280</v>
      </c>
      <c r="G44" s="764">
        <v>0</v>
      </c>
      <c r="H44" s="759">
        <f>G44</f>
        <v>0</v>
      </c>
      <c r="I44" s="731" t="s">
        <v>280</v>
      </c>
      <c r="J44" s="730">
        <f>H44</f>
        <v>0</v>
      </c>
      <c r="K44" s="844">
        <f>-G44</f>
        <v>0</v>
      </c>
      <c r="L44" s="847"/>
      <c r="M44" s="847"/>
      <c r="N44" s="847"/>
      <c r="O44" s="847"/>
      <c r="P44" s="847"/>
      <c r="Q44" s="847"/>
      <c r="R44" s="847"/>
      <c r="S44" s="847"/>
      <c r="T44" s="847"/>
      <c r="U44" s="847"/>
      <c r="V44" s="847"/>
      <c r="W44" s="847"/>
      <c r="X44" s="847"/>
      <c r="Y44" s="847"/>
      <c r="Z44" s="847"/>
      <c r="AA44" s="847"/>
      <c r="AB44" s="847"/>
      <c r="AC44" s="168"/>
      <c r="AD44" s="168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1:61" s="29" customFormat="1" ht="22.5" customHeight="1" x14ac:dyDescent="0.3">
      <c r="A45" s="757" t="str">
        <f>A13</f>
        <v>Т10.1.3</v>
      </c>
      <c r="B45" s="2493" t="str">
        <f>B13</f>
        <v>дооцінка ННМА</v>
      </c>
      <c r="C45" s="2493">
        <f>C13</f>
        <v>0</v>
      </c>
      <c r="D45" s="2493">
        <f>D13</f>
        <v>0</v>
      </c>
      <c r="E45" s="765"/>
      <c r="F45" s="2573" t="s">
        <v>280</v>
      </c>
      <c r="G45" s="2573"/>
      <c r="H45" s="2573"/>
      <c r="I45" s="2573"/>
      <c r="J45" s="730">
        <f>J46-J47</f>
        <v>0</v>
      </c>
      <c r="K45" s="844">
        <f>K46-K47</f>
        <v>0</v>
      </c>
      <c r="L45" s="847"/>
      <c r="M45" s="847"/>
      <c r="N45" s="847"/>
      <c r="O45" s="847"/>
      <c r="P45" s="847"/>
      <c r="Q45" s="847"/>
      <c r="R45" s="847"/>
      <c r="S45" s="847"/>
      <c r="T45" s="847"/>
      <c r="U45" s="847"/>
      <c r="V45" s="847"/>
      <c r="W45" s="847"/>
      <c r="X45" s="847"/>
      <c r="Y45" s="847"/>
      <c r="Z45" s="847"/>
      <c r="AA45" s="847"/>
      <c r="AB45" s="847"/>
      <c r="AC45" s="168"/>
      <c r="AD45" s="168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1:61" s="29" customFormat="1" ht="28.5" customHeight="1" x14ac:dyDescent="0.3">
      <c r="A46" s="757" t="str">
        <f>A14</f>
        <v>Т10.1.3.1.</v>
      </c>
      <c r="B46" s="2493" t="str">
        <f>B14</f>
        <v>первісна вартість дооцінки</v>
      </c>
      <c r="C46" s="2493"/>
      <c r="D46" s="2493"/>
      <c r="E46" s="765"/>
      <c r="F46" s="766">
        <f>I46</f>
        <v>0</v>
      </c>
      <c r="G46" s="767"/>
      <c r="H46" s="768"/>
      <c r="I46" s="762">
        <v>0</v>
      </c>
      <c r="J46" s="730">
        <f>F46</f>
        <v>0</v>
      </c>
      <c r="K46" s="844">
        <f>-I46</f>
        <v>0</v>
      </c>
      <c r="L46" s="847"/>
      <c r="M46" s="847"/>
      <c r="N46" s="847"/>
      <c r="O46" s="847"/>
      <c r="P46" s="847"/>
      <c r="Q46" s="847"/>
      <c r="R46" s="847"/>
      <c r="S46" s="847"/>
      <c r="T46" s="847"/>
      <c r="U46" s="847"/>
      <c r="V46" s="847"/>
      <c r="W46" s="847"/>
      <c r="X46" s="847"/>
      <c r="Y46" s="847"/>
      <c r="Z46" s="847"/>
      <c r="AA46" s="847"/>
      <c r="AB46" s="847"/>
      <c r="AC46" s="168"/>
      <c r="AD46" s="168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1:61" s="29" customFormat="1" ht="52.5" customHeight="1" thickBot="1" x14ac:dyDescent="0.35">
      <c r="A47" s="769" t="str">
        <f>A15</f>
        <v>Т10.1.3.2.</v>
      </c>
      <c r="B47" s="2584" t="str">
        <f>B15</f>
        <v>рух по 13 рахунку щодо дооцінки</v>
      </c>
      <c r="C47" s="2584"/>
      <c r="D47" s="2584"/>
      <c r="E47" s="770"/>
      <c r="F47" s="771"/>
      <c r="G47" s="772">
        <v>0</v>
      </c>
      <c r="H47" s="773">
        <f>G47</f>
        <v>0</v>
      </c>
      <c r="I47" s="774"/>
      <c r="J47" s="775">
        <f>H47</f>
        <v>0</v>
      </c>
      <c r="K47" s="845">
        <f>-G47</f>
        <v>0</v>
      </c>
      <c r="L47" s="847"/>
      <c r="M47" s="847"/>
      <c r="N47" s="847"/>
      <c r="O47" s="847"/>
      <c r="P47" s="847"/>
      <c r="Q47" s="847"/>
      <c r="R47" s="847"/>
      <c r="S47" s="847"/>
      <c r="T47" s="847"/>
      <c r="U47" s="847"/>
      <c r="V47" s="847"/>
      <c r="W47" s="847"/>
      <c r="X47" s="847"/>
      <c r="Y47" s="847"/>
      <c r="Z47" s="847"/>
      <c r="AA47" s="847"/>
      <c r="AB47" s="847"/>
      <c r="AC47" s="168"/>
      <c r="AD47" s="168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1:61" s="29" customFormat="1" ht="25.5" customHeight="1" x14ac:dyDescent="0.3">
      <c r="A48" s="754" t="s">
        <v>386</v>
      </c>
      <c r="B48" s="2572" t="s">
        <v>101</v>
      </c>
      <c r="C48" s="2572"/>
      <c r="D48" s="2572"/>
      <c r="E48" s="755">
        <v>1010</v>
      </c>
      <c r="F48" s="2585" t="s">
        <v>280</v>
      </c>
      <c r="G48" s="2585"/>
      <c r="H48" s="2585"/>
      <c r="I48" s="2585"/>
      <c r="J48" s="756">
        <f>J49-J50</f>
        <v>0</v>
      </c>
      <c r="K48" s="843">
        <f>K49-K50</f>
        <v>0</v>
      </c>
      <c r="L48" s="847"/>
      <c r="M48" s="847"/>
      <c r="N48" s="847"/>
      <c r="O48" s="847"/>
      <c r="P48" s="847"/>
      <c r="Q48" s="847"/>
      <c r="R48" s="847"/>
      <c r="S48" s="847"/>
      <c r="T48" s="847"/>
      <c r="U48" s="847"/>
      <c r="V48" s="847"/>
      <c r="W48" s="847"/>
      <c r="X48" s="847"/>
      <c r="Y48" s="847"/>
      <c r="Z48" s="847"/>
      <c r="AA48" s="847"/>
      <c r="AB48" s="847"/>
      <c r="AC48" s="168"/>
      <c r="AD48" s="168"/>
      <c r="AE48" s="87"/>
      <c r="AF48" s="87"/>
      <c r="AG48" s="87"/>
      <c r="AH48" s="87"/>
      <c r="AI48" s="87"/>
      <c r="AJ48" s="87"/>
      <c r="AK48" s="87"/>
      <c r="AL48" s="87"/>
      <c r="AM48" s="87"/>
      <c r="AN48" s="87"/>
    </row>
    <row r="49" spans="1:71" s="29" customFormat="1" ht="43.5" customHeight="1" x14ac:dyDescent="0.3">
      <c r="A49" s="757" t="s">
        <v>387</v>
      </c>
      <c r="B49" s="2493" t="s">
        <v>416</v>
      </c>
      <c r="C49" s="2493"/>
      <c r="D49" s="2493"/>
      <c r="E49" s="758">
        <v>1011</v>
      </c>
      <c r="F49" s="759">
        <f>I49</f>
        <v>63000</v>
      </c>
      <c r="G49" s="760" t="s">
        <v>280</v>
      </c>
      <c r="H49" s="761" t="s">
        <v>280</v>
      </c>
      <c r="I49" s="762">
        <v>63000</v>
      </c>
      <c r="J49" s="730">
        <f>F49</f>
        <v>63000</v>
      </c>
      <c r="K49" s="844">
        <f>-I49</f>
        <v>-63000</v>
      </c>
      <c r="L49" s="847"/>
      <c r="M49" s="847"/>
      <c r="N49" s="847"/>
      <c r="O49" s="847"/>
      <c r="P49" s="847"/>
      <c r="Q49" s="847"/>
      <c r="R49" s="847"/>
      <c r="S49" s="847"/>
      <c r="T49" s="847"/>
      <c r="U49" s="847"/>
      <c r="V49" s="847"/>
      <c r="W49" s="847"/>
      <c r="X49" s="847"/>
      <c r="Y49" s="847"/>
      <c r="Z49" s="847"/>
      <c r="AA49" s="847"/>
      <c r="AB49" s="847"/>
      <c r="AC49" s="168"/>
      <c r="AD49" s="168"/>
      <c r="AE49" s="87"/>
      <c r="AF49" s="87"/>
      <c r="AG49" s="87"/>
      <c r="AH49" s="87"/>
      <c r="AI49" s="87"/>
      <c r="AJ49" s="87"/>
      <c r="AK49" s="87"/>
      <c r="AL49" s="87"/>
      <c r="AM49" s="87"/>
      <c r="AN49" s="87"/>
    </row>
    <row r="50" spans="1:71" s="29" customFormat="1" ht="22.5" customHeight="1" x14ac:dyDescent="0.3">
      <c r="A50" s="757" t="s">
        <v>388</v>
      </c>
      <c r="B50" s="2493" t="s">
        <v>402</v>
      </c>
      <c r="C50" s="2493"/>
      <c r="D50" s="2493"/>
      <c r="E50" s="758">
        <v>1012</v>
      </c>
      <c r="F50" s="760" t="s">
        <v>280</v>
      </c>
      <c r="G50" s="764">
        <v>63000</v>
      </c>
      <c r="H50" s="759">
        <f>G50</f>
        <v>63000</v>
      </c>
      <c r="I50" s="731" t="s">
        <v>280</v>
      </c>
      <c r="J50" s="730">
        <f>H50</f>
        <v>63000</v>
      </c>
      <c r="K50" s="844">
        <f>-G50</f>
        <v>-63000</v>
      </c>
      <c r="L50" s="859"/>
      <c r="M50" s="847"/>
      <c r="N50" s="847"/>
      <c r="O50" s="847"/>
      <c r="P50" s="847"/>
      <c r="Q50" s="847"/>
      <c r="R50" s="847"/>
      <c r="S50" s="847"/>
      <c r="T50" s="847"/>
      <c r="U50" s="847"/>
      <c r="V50" s="847"/>
      <c r="W50" s="847"/>
      <c r="X50" s="847"/>
      <c r="Y50" s="847"/>
      <c r="Z50" s="847"/>
      <c r="AA50" s="847"/>
      <c r="AB50" s="847"/>
      <c r="AC50" s="168"/>
      <c r="AD50" s="168"/>
      <c r="AE50" s="87"/>
      <c r="AF50" s="87"/>
      <c r="AG50" s="87"/>
      <c r="AH50" s="87"/>
      <c r="AI50" s="87"/>
      <c r="AJ50" s="87"/>
      <c r="AK50" s="87"/>
      <c r="AL50" s="87"/>
      <c r="AM50" s="87"/>
      <c r="AN50" s="87"/>
    </row>
    <row r="51" spans="1:71" s="29" customFormat="1" ht="22.5" customHeight="1" x14ac:dyDescent="0.3">
      <c r="A51" s="757" t="str">
        <f t="shared" ref="A51:B53" si="5">A23</f>
        <v>Т10.3.3</v>
      </c>
      <c r="B51" s="2493" t="str">
        <f t="shared" si="5"/>
        <v>дооцінка ОЗ</v>
      </c>
      <c r="C51" s="2493"/>
      <c r="D51" s="2493"/>
      <c r="E51" s="758"/>
      <c r="F51" s="2573" t="s">
        <v>280</v>
      </c>
      <c r="G51" s="2573"/>
      <c r="H51" s="2573"/>
      <c r="I51" s="2573"/>
      <c r="J51" s="730">
        <f>J52-J53</f>
        <v>0</v>
      </c>
      <c r="K51" s="844">
        <f>K52-K53</f>
        <v>0</v>
      </c>
      <c r="L51" s="859"/>
      <c r="M51" s="847"/>
      <c r="N51" s="847"/>
      <c r="O51" s="847"/>
      <c r="P51" s="847"/>
      <c r="Q51" s="847"/>
      <c r="R51" s="847"/>
      <c r="S51" s="847"/>
      <c r="T51" s="847"/>
      <c r="U51" s="847"/>
      <c r="V51" s="847"/>
      <c r="W51" s="847"/>
      <c r="X51" s="847"/>
      <c r="Y51" s="847"/>
      <c r="Z51" s="847"/>
      <c r="AA51" s="847"/>
      <c r="AB51" s="847"/>
      <c r="AC51" s="168"/>
      <c r="AD51" s="168"/>
      <c r="AE51" s="87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1:71" s="29" customFormat="1" ht="32.25" customHeight="1" x14ac:dyDescent="0.3">
      <c r="A52" s="757" t="str">
        <f t="shared" si="5"/>
        <v>Т10.3.3.1.</v>
      </c>
      <c r="B52" s="2493" t="str">
        <f t="shared" si="5"/>
        <v>первісна вартість дооцінки</v>
      </c>
      <c r="C52" s="2493"/>
      <c r="D52" s="2493"/>
      <c r="E52" s="758"/>
      <c r="F52" s="776">
        <f>I52</f>
        <v>0</v>
      </c>
      <c r="G52" s="767"/>
      <c r="H52" s="768"/>
      <c r="I52" s="762">
        <v>0</v>
      </c>
      <c r="J52" s="730">
        <f>F52</f>
        <v>0</v>
      </c>
      <c r="K52" s="844">
        <f>-I52</f>
        <v>0</v>
      </c>
      <c r="L52" s="859"/>
      <c r="M52" s="847"/>
      <c r="N52" s="847"/>
      <c r="O52" s="847"/>
      <c r="P52" s="847"/>
      <c r="Q52" s="847"/>
      <c r="R52" s="847"/>
      <c r="S52" s="847"/>
      <c r="T52" s="847"/>
      <c r="U52" s="847"/>
      <c r="V52" s="847"/>
      <c r="W52" s="847"/>
      <c r="X52" s="847"/>
      <c r="Y52" s="847"/>
      <c r="Z52" s="847"/>
      <c r="AA52" s="847"/>
      <c r="AB52" s="847"/>
      <c r="AC52" s="168"/>
      <c r="AD52" s="168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71" s="29" customFormat="1" ht="48" customHeight="1" thickBot="1" x14ac:dyDescent="0.35">
      <c r="A53" s="769" t="str">
        <f t="shared" si="5"/>
        <v>Т10.3.3.2.</v>
      </c>
      <c r="B53" s="2584" t="str">
        <f t="shared" si="5"/>
        <v>рух по 13 рахунку щодо дооцінки</v>
      </c>
      <c r="C53" s="2584"/>
      <c r="D53" s="2584"/>
      <c r="E53" s="777"/>
      <c r="F53" s="771"/>
      <c r="G53" s="772">
        <v>0</v>
      </c>
      <c r="H53" s="773">
        <f>G53</f>
        <v>0</v>
      </c>
      <c r="I53" s="774"/>
      <c r="J53" s="775">
        <f>H53</f>
        <v>0</v>
      </c>
      <c r="K53" s="845">
        <f>-G53</f>
        <v>0</v>
      </c>
      <c r="L53" s="859"/>
      <c r="M53" s="847"/>
      <c r="N53" s="847"/>
      <c r="O53" s="847"/>
      <c r="P53" s="847"/>
      <c r="Q53" s="847"/>
      <c r="R53" s="847"/>
      <c r="S53" s="847"/>
      <c r="T53" s="847"/>
      <c r="U53" s="847"/>
      <c r="V53" s="847"/>
      <c r="W53" s="847"/>
      <c r="X53" s="847"/>
      <c r="Y53" s="847"/>
      <c r="Z53" s="847"/>
      <c r="AA53" s="847"/>
      <c r="AB53" s="847"/>
      <c r="AC53" s="168"/>
      <c r="AD53" s="168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1:71" s="29" customFormat="1" ht="33" customHeight="1" thickBot="1" x14ac:dyDescent="0.35">
      <c r="A54" s="778" t="s">
        <v>1192</v>
      </c>
      <c r="B54" s="2596" t="s">
        <v>123</v>
      </c>
      <c r="C54" s="2596"/>
      <c r="D54" s="2596"/>
      <c r="E54" s="779">
        <v>1410</v>
      </c>
      <c r="F54" s="780"/>
      <c r="G54" s="781" t="s">
        <v>280</v>
      </c>
      <c r="H54" s="780"/>
      <c r="I54" s="781" t="s">
        <v>280</v>
      </c>
      <c r="J54" s="839">
        <f>H54-F54</f>
        <v>0</v>
      </c>
      <c r="K54" s="846" t="s">
        <v>280</v>
      </c>
      <c r="L54" s="859"/>
      <c r="M54" s="847"/>
      <c r="N54" s="847"/>
      <c r="O54" s="847"/>
      <c r="P54" s="847"/>
      <c r="Q54" s="847"/>
      <c r="R54" s="847"/>
      <c r="S54" s="847"/>
      <c r="T54" s="847"/>
      <c r="U54" s="847"/>
      <c r="V54" s="847"/>
      <c r="W54" s="847"/>
      <c r="X54" s="847"/>
      <c r="Y54" s="847"/>
      <c r="Z54" s="847"/>
      <c r="AA54" s="847"/>
      <c r="AB54" s="847"/>
      <c r="AC54" s="168"/>
      <c r="AD54" s="168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71" s="29" customFormat="1" ht="33" customHeight="1" x14ac:dyDescent="0.3">
      <c r="A55" s="556"/>
      <c r="B55" s="557"/>
      <c r="C55" s="557"/>
      <c r="D55" s="557"/>
      <c r="E55" s="558"/>
      <c r="F55" s="555"/>
      <c r="G55" s="559"/>
      <c r="H55" s="555"/>
      <c r="I55" s="559"/>
      <c r="J55" s="407"/>
      <c r="K55" s="554"/>
      <c r="L55" s="859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168"/>
      <c r="AD55" s="168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1:71" s="29" customFormat="1" ht="41.25" customHeight="1" thickBot="1" x14ac:dyDescent="0.35">
      <c r="A56" s="840" t="s">
        <v>1171</v>
      </c>
      <c r="B56" s="415"/>
      <c r="C56" s="415"/>
      <c r="D56" s="415"/>
      <c r="E56" s="416"/>
      <c r="F56" s="417"/>
      <c r="G56" s="413"/>
      <c r="H56" s="419"/>
      <c r="J56" s="414"/>
      <c r="K56" s="418"/>
      <c r="L56" s="870"/>
      <c r="M56" s="871"/>
      <c r="N56" s="871"/>
      <c r="O56" s="871"/>
      <c r="P56" s="871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168"/>
      <c r="AD56" s="168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spans="1:71" s="29" customFormat="1" ht="71.25" customHeight="1" thickBot="1" x14ac:dyDescent="0.3">
      <c r="A57" s="872" t="s">
        <v>1175</v>
      </c>
      <c r="B57" s="2581" t="s">
        <v>1172</v>
      </c>
      <c r="C57" s="2582"/>
      <c r="D57" s="2578" t="s">
        <v>1177</v>
      </c>
      <c r="E57" s="2579"/>
      <c r="F57" s="2579"/>
      <c r="G57" s="2579"/>
      <c r="H57" s="2579"/>
      <c r="I57" s="2579"/>
      <c r="J57" s="2580"/>
      <c r="K57" s="874">
        <v>1</v>
      </c>
      <c r="L57" s="875" t="str">
        <f>IF('Звіт   4,5,6'!E43=0,"Дані не введено",IF(OR(AND(K58=2,K57=0),AND(K58=0,K57=1)),"ПРАВДА","ПОМИЛКА"))</f>
        <v>ПРАВДА</v>
      </c>
      <c r="M57" s="2511" t="s">
        <v>1179</v>
      </c>
      <c r="N57" s="2511"/>
      <c r="O57" s="2511"/>
      <c r="P57" s="2512"/>
      <c r="Q57" s="521"/>
      <c r="R57" s="521"/>
      <c r="S57" s="521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87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1:71" s="29" customFormat="1" ht="53.25" customHeight="1" thickBot="1" x14ac:dyDescent="0.35">
      <c r="A58" s="873" t="s">
        <v>1176</v>
      </c>
      <c r="B58" s="2560" t="s">
        <v>1173</v>
      </c>
      <c r="C58" s="2561"/>
      <c r="D58" s="2536" t="s">
        <v>1180</v>
      </c>
      <c r="E58" s="2537"/>
      <c r="F58" s="2537"/>
      <c r="G58" s="2537"/>
      <c r="H58" s="2537"/>
      <c r="I58" s="2537"/>
      <c r="J58" s="2538"/>
      <c r="K58" s="874">
        <v>0</v>
      </c>
      <c r="L58" s="743"/>
      <c r="M58" s="743"/>
      <c r="N58" s="743"/>
      <c r="O58" s="743"/>
      <c r="P58" s="743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38"/>
      <c r="AH58" s="222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87"/>
      <c r="BA58" s="87"/>
      <c r="BB58" s="87"/>
      <c r="BC58" s="87"/>
      <c r="BD58" s="87"/>
      <c r="BE58" s="87"/>
      <c r="BF58" s="87"/>
      <c r="BG58" s="87"/>
      <c r="BH58" s="87"/>
      <c r="BI58" s="87"/>
    </row>
    <row r="59" spans="1:71" s="29" customFormat="1" ht="13.5" customHeight="1" thickBot="1" x14ac:dyDescent="0.35">
      <c r="A59" s="516"/>
      <c r="B59" s="517"/>
      <c r="C59" s="517"/>
      <c r="D59" s="518"/>
      <c r="E59" s="518"/>
      <c r="F59" s="518"/>
      <c r="G59" s="518"/>
      <c r="H59" s="518"/>
      <c r="I59" s="518"/>
      <c r="J59" s="518"/>
      <c r="K59" s="519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38"/>
      <c r="AH59" s="222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87"/>
      <c r="BA59" s="87"/>
      <c r="BB59" s="87"/>
      <c r="BC59" s="87"/>
      <c r="BD59" s="87"/>
      <c r="BE59" s="87"/>
      <c r="BF59" s="87"/>
      <c r="BG59" s="87"/>
      <c r="BH59" s="87"/>
      <c r="BI59" s="87"/>
    </row>
    <row r="60" spans="1:71" s="29" customFormat="1" ht="168.75" customHeight="1" x14ac:dyDescent="0.3">
      <c r="A60" s="2526" t="s">
        <v>917</v>
      </c>
      <c r="B60" s="2526"/>
      <c r="C60" s="2526"/>
      <c r="D60" s="2526"/>
      <c r="E60" s="2526"/>
      <c r="F60" s="2526"/>
      <c r="G60" s="2526"/>
      <c r="H60" s="2526"/>
      <c r="I60" s="2526"/>
      <c r="J60" s="2526"/>
      <c r="K60" s="2526"/>
      <c r="L60" s="2505" t="s">
        <v>937</v>
      </c>
      <c r="M60" s="2506"/>
      <c r="N60" s="2506"/>
      <c r="O60" s="2506"/>
      <c r="P60" s="2507"/>
      <c r="Q60" s="2505" t="s">
        <v>938</v>
      </c>
      <c r="R60" s="2598"/>
      <c r="S60" s="2599"/>
      <c r="T60" s="2609" t="s">
        <v>1174</v>
      </c>
      <c r="U60" s="2610"/>
      <c r="V60" s="2610"/>
      <c r="W60" s="2610"/>
      <c r="X60" s="2610"/>
      <c r="Y60" s="2610"/>
      <c r="Z60" s="2611"/>
      <c r="AA60" s="175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87"/>
      <c r="BA60" s="87"/>
      <c r="BB60" s="87"/>
      <c r="BC60" s="87"/>
      <c r="BD60" s="87"/>
      <c r="BE60" s="87"/>
      <c r="BF60" s="87"/>
      <c r="BG60" s="87"/>
      <c r="BH60" s="87"/>
      <c r="BI60" s="87"/>
    </row>
    <row r="61" spans="1:71" s="29" customFormat="1" ht="35.25" customHeight="1" x14ac:dyDescent="0.3">
      <c r="A61" s="2526"/>
      <c r="B61" s="2526"/>
      <c r="C61" s="2526"/>
      <c r="D61" s="2526"/>
      <c r="E61" s="2526"/>
      <c r="F61" s="2526"/>
      <c r="G61" s="2526"/>
      <c r="H61" s="2526"/>
      <c r="I61" s="2526"/>
      <c r="J61" s="2526"/>
      <c r="K61" s="2526"/>
      <c r="L61" s="2508"/>
      <c r="M61" s="1823"/>
      <c r="N61" s="1823"/>
      <c r="O61" s="1823"/>
      <c r="P61" s="2509"/>
      <c r="Q61" s="2600"/>
      <c r="R61" s="2601"/>
      <c r="S61" s="2602"/>
      <c r="T61" s="2612"/>
      <c r="U61" s="2613"/>
      <c r="V61" s="2613"/>
      <c r="W61" s="2613"/>
      <c r="X61" s="2613"/>
      <c r="Y61" s="2613"/>
      <c r="Z61" s="2614"/>
      <c r="AA61" s="175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87"/>
      <c r="BA61" s="87"/>
      <c r="BB61" s="87"/>
      <c r="BC61" s="87"/>
      <c r="BD61" s="87"/>
      <c r="BE61" s="87"/>
      <c r="BF61" s="87"/>
      <c r="BG61" s="87"/>
      <c r="BH61" s="87"/>
      <c r="BI61" s="87"/>
    </row>
    <row r="62" spans="1:71" s="24" customFormat="1" ht="13.5" customHeight="1" thickBot="1" x14ac:dyDescent="0.3">
      <c r="A62" s="2526"/>
      <c r="B62" s="2526"/>
      <c r="C62" s="2526"/>
      <c r="D62" s="2526"/>
      <c r="E62" s="2526"/>
      <c r="F62" s="2526"/>
      <c r="G62" s="2526"/>
      <c r="H62" s="2526"/>
      <c r="I62" s="2526"/>
      <c r="J62" s="2526"/>
      <c r="K62" s="2526"/>
      <c r="L62" s="2430"/>
      <c r="M62" s="2431"/>
      <c r="N62" s="2431"/>
      <c r="O62" s="2431"/>
      <c r="P62" s="2510"/>
      <c r="Q62" s="2603"/>
      <c r="R62" s="2604"/>
      <c r="S62" s="2605"/>
      <c r="T62" s="2615"/>
      <c r="U62" s="2616"/>
      <c r="V62" s="2616"/>
      <c r="W62" s="2616"/>
      <c r="X62" s="2616"/>
      <c r="Y62" s="2616"/>
      <c r="Z62" s="2617"/>
      <c r="AM62" s="234"/>
      <c r="AN62" s="234"/>
      <c r="AO62" s="165"/>
      <c r="AP62" s="165"/>
      <c r="AQ62" s="167"/>
      <c r="AR62" s="168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</row>
    <row r="63" spans="1:71" s="24" customFormat="1" ht="45.75" customHeight="1" x14ac:dyDescent="0.25">
      <c r="A63" s="2553" t="s">
        <v>37</v>
      </c>
      <c r="B63" s="2527" t="s">
        <v>412</v>
      </c>
      <c r="C63" s="2527"/>
      <c r="D63" s="2528"/>
      <c r="E63" s="2544" t="str">
        <f>E7</f>
        <v xml:space="preserve">Код рядка балансу </v>
      </c>
      <c r="F63" s="2422" t="s">
        <v>494</v>
      </c>
      <c r="G63" s="2566" t="s">
        <v>426</v>
      </c>
      <c r="H63" s="2567"/>
      <c r="I63" s="2566" t="s">
        <v>427</v>
      </c>
      <c r="J63" s="2567"/>
      <c r="K63" s="2446" t="s">
        <v>1198</v>
      </c>
      <c r="L63" s="2521" t="s">
        <v>500</v>
      </c>
      <c r="M63" s="2380" t="s">
        <v>661</v>
      </c>
      <c r="N63" s="2380" t="s">
        <v>501</v>
      </c>
      <c r="O63" s="2380" t="s">
        <v>662</v>
      </c>
      <c r="P63" s="2523" t="s">
        <v>536</v>
      </c>
      <c r="Q63" s="2521" t="s">
        <v>676</v>
      </c>
      <c r="R63" s="2380" t="s">
        <v>623</v>
      </c>
      <c r="S63" s="2378" t="s">
        <v>624</v>
      </c>
      <c r="T63" s="2606" t="s">
        <v>722</v>
      </c>
      <c r="U63" s="2380"/>
      <c r="V63" s="2380" t="s">
        <v>723</v>
      </c>
      <c r="W63" s="2380"/>
      <c r="X63" s="2364" t="s">
        <v>625</v>
      </c>
      <c r="Y63" s="2365"/>
      <c r="Z63" s="2378" t="s">
        <v>626</v>
      </c>
      <c r="AM63" s="234"/>
      <c r="AN63" s="234"/>
      <c r="AO63" s="165"/>
      <c r="AP63" s="165"/>
      <c r="AQ63" s="167"/>
      <c r="AR63" s="168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</row>
    <row r="64" spans="1:71" s="24" customFormat="1" ht="57.75" customHeight="1" x14ac:dyDescent="0.25">
      <c r="A64" s="2618"/>
      <c r="B64" s="1824"/>
      <c r="C64" s="1824"/>
      <c r="D64" s="2529"/>
      <c r="E64" s="2508"/>
      <c r="F64" s="2525"/>
      <c r="G64" s="2568"/>
      <c r="H64" s="2569"/>
      <c r="I64" s="2568"/>
      <c r="J64" s="2569"/>
      <c r="K64" s="2447"/>
      <c r="L64" s="2522"/>
      <c r="M64" s="2381"/>
      <c r="N64" s="2381"/>
      <c r="O64" s="2381"/>
      <c r="P64" s="2524"/>
      <c r="Q64" s="2522"/>
      <c r="R64" s="2381"/>
      <c r="S64" s="2379"/>
      <c r="T64" s="2607"/>
      <c r="U64" s="2381"/>
      <c r="V64" s="2381"/>
      <c r="W64" s="2381"/>
      <c r="X64" s="2366"/>
      <c r="Y64" s="2367"/>
      <c r="Z64" s="2379"/>
      <c r="AM64" s="234"/>
      <c r="AN64" s="234"/>
      <c r="AO64" s="165"/>
      <c r="AP64" s="165"/>
      <c r="AQ64" s="167"/>
      <c r="AR64" s="168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</row>
    <row r="65" spans="1:56" s="9" customFormat="1" ht="35.25" customHeight="1" x14ac:dyDescent="0.25">
      <c r="A65" s="2618"/>
      <c r="B65" s="1824"/>
      <c r="C65" s="1824"/>
      <c r="D65" s="2529"/>
      <c r="E65" s="2508"/>
      <c r="F65" s="2525"/>
      <c r="G65" s="2570"/>
      <c r="H65" s="2571"/>
      <c r="I65" s="2570"/>
      <c r="J65" s="2571"/>
      <c r="K65" s="2447"/>
      <c r="L65" s="2522"/>
      <c r="M65" s="2381"/>
      <c r="N65" s="2381"/>
      <c r="O65" s="2381"/>
      <c r="P65" s="2524"/>
      <c r="Q65" s="2522"/>
      <c r="R65" s="2381"/>
      <c r="S65" s="2379"/>
      <c r="T65" s="2607"/>
      <c r="U65" s="2381"/>
      <c r="V65" s="2381"/>
      <c r="W65" s="2381"/>
      <c r="X65" s="2368"/>
      <c r="Y65" s="2369"/>
      <c r="Z65" s="2379"/>
      <c r="AM65" s="167"/>
      <c r="AN65" s="168"/>
      <c r="AO65" s="164"/>
      <c r="AP65" s="164"/>
      <c r="AQ65" s="164"/>
      <c r="AR65" s="164"/>
      <c r="AS65" s="73"/>
      <c r="AT65" s="73"/>
      <c r="AU65" s="73"/>
      <c r="AV65" s="73"/>
      <c r="AW65" s="73"/>
      <c r="AX65" s="73"/>
      <c r="AY65" s="73"/>
      <c r="AZ65" s="73"/>
      <c r="BA65" s="73"/>
    </row>
    <row r="66" spans="1:56" s="9" customFormat="1" ht="22.5" customHeight="1" thickBot="1" x14ac:dyDescent="0.3">
      <c r="A66" s="782">
        <v>1</v>
      </c>
      <c r="B66" s="2686">
        <f>B9</f>
        <v>2</v>
      </c>
      <c r="C66" s="2686"/>
      <c r="D66" s="2687"/>
      <c r="E66" s="783">
        <f>E9</f>
        <v>3</v>
      </c>
      <c r="F66" s="784">
        <f>F9</f>
        <v>4</v>
      </c>
      <c r="G66" s="2370">
        <f t="shared" ref="G66:P66" si="6">G9</f>
        <v>5</v>
      </c>
      <c r="H66" s="2371"/>
      <c r="I66" s="2370">
        <f>I9</f>
        <v>6</v>
      </c>
      <c r="J66" s="2371"/>
      <c r="K66" s="785">
        <f t="shared" si="6"/>
        <v>7</v>
      </c>
      <c r="L66" s="786">
        <f t="shared" si="6"/>
        <v>8</v>
      </c>
      <c r="M66" s="787">
        <f t="shared" si="6"/>
        <v>9</v>
      </c>
      <c r="N66" s="787">
        <f t="shared" si="6"/>
        <v>10</v>
      </c>
      <c r="O66" s="787">
        <f t="shared" si="6"/>
        <v>11</v>
      </c>
      <c r="P66" s="788">
        <f t="shared" si="6"/>
        <v>12</v>
      </c>
      <c r="Q66" s="786">
        <v>13</v>
      </c>
      <c r="R66" s="787">
        <v>14</v>
      </c>
      <c r="S66" s="789">
        <v>15</v>
      </c>
      <c r="T66" s="2608">
        <v>16</v>
      </c>
      <c r="U66" s="2377"/>
      <c r="V66" s="2377">
        <v>17</v>
      </c>
      <c r="W66" s="2377"/>
      <c r="X66" s="2370">
        <v>18</v>
      </c>
      <c r="Y66" s="2371"/>
      <c r="Z66" s="789">
        <v>19</v>
      </c>
      <c r="AM66" s="76"/>
      <c r="AN66" s="76"/>
      <c r="AO66" s="76"/>
      <c r="AP66" s="76"/>
      <c r="AQ66" s="132"/>
      <c r="AR66" s="76"/>
      <c r="AS66" s="73"/>
      <c r="AT66" s="73"/>
      <c r="AU66" s="73"/>
      <c r="AV66" s="73"/>
      <c r="AW66" s="73"/>
      <c r="AX66" s="73"/>
      <c r="AY66" s="73"/>
      <c r="AZ66" s="73"/>
      <c r="BA66" s="73"/>
    </row>
    <row r="67" spans="1:56" s="9" customFormat="1" ht="42" customHeight="1" x14ac:dyDescent="0.25">
      <c r="A67" s="790" t="s">
        <v>393</v>
      </c>
      <c r="B67" s="2688" t="s">
        <v>403</v>
      </c>
      <c r="C67" s="2688"/>
      <c r="D67" s="2592"/>
      <c r="E67" s="791">
        <v>1405</v>
      </c>
      <c r="F67" s="792">
        <v>0</v>
      </c>
      <c r="G67" s="2689">
        <v>0</v>
      </c>
      <c r="H67" s="2690"/>
      <c r="I67" s="2691">
        <v>0</v>
      </c>
      <c r="J67" s="2692"/>
      <c r="K67" s="793">
        <f>F67-G67+I67</f>
        <v>0</v>
      </c>
      <c r="L67" s="794">
        <f>F13+F23</f>
        <v>0</v>
      </c>
      <c r="M67" s="795">
        <f>'Звіт   9'!H59</f>
        <v>0</v>
      </c>
      <c r="N67" s="795">
        <f>AD13+AD23</f>
        <v>0</v>
      </c>
      <c r="O67" s="795">
        <f>'Звіт   9'!K59</f>
        <v>0</v>
      </c>
      <c r="P67" s="796" t="str">
        <f>IF('Звіт   4,5,6'!E43=0,"Дані не введено",IF(AND((ROUND(K67/1000,1)-ROUND(N67/1000,1))&lt;=1,(ROUND(K67/1000,1)-ROUND(N67/1000,1))&gt;=-1,(ROUND(K67/1000,1)-ROUND(O67,1))&lt;=1,(ROUND(K67/1000,1)-ROUND(O67,1))&gt;=-1,(ROUND(F67/1000,1)-ROUND(L67/1000,1))&lt;=1,(ROUND(F67/1000,1)-ROUND(L67/1000,1))&gt;=-1,(ROUND(F67/1000,1)-ROUND(M67,1))&lt;=1,(ROUND(F67/1000,1)-ROUND(M67,1))&gt;=-1),"ПРАВДА","ПОМИЛКА"))</f>
        <v>ПРАВДА</v>
      </c>
      <c r="Q67" s="794">
        <f>R15+R25</f>
        <v>0</v>
      </c>
      <c r="R67" s="795">
        <f>I82</f>
        <v>0</v>
      </c>
      <c r="S67" s="630" t="str">
        <f>IF('Звіт   4,5,6'!E43=0,"Дані не введено",IF(AND(K57=1,(G67-(Q67+R67))&lt;=10,(G67-(Q67+R67))&gt;=-10),"ПРАВДА",IF(AND(K58=2,(G67-(Q67-G87+R67))&lt;=10,(G67-(Q67-G87+R67))&gt;=-10),"ПРАВДА","ПОМИЛКА")))</f>
        <v>ПРАВДА</v>
      </c>
      <c r="T67" s="2619">
        <f>M14+M24</f>
        <v>0</v>
      </c>
      <c r="U67" s="2382"/>
      <c r="V67" s="2382" t="s">
        <v>280</v>
      </c>
      <c r="W67" s="2382"/>
      <c r="X67" s="2372" t="s">
        <v>280</v>
      </c>
      <c r="Y67" s="2373"/>
      <c r="Z67" s="630" t="str">
        <f>IF('Звіт   4,5,6'!E43=0,"Дані не введено",IF(AND(K57=1,(I67-T67)&lt;=10,(I67-T67)&gt;=-10),"ПРАВДА",IF(AND(K58=2,(I67-T67+G87)&lt;=10,(I67-T67+G87)&gt;=-10),"ПРАВДА","ПОМИЛКА")))</f>
        <v>ПРАВДА</v>
      </c>
      <c r="AM67" s="171"/>
      <c r="AN67" s="171"/>
      <c r="AO67" s="171"/>
      <c r="AP67" s="171"/>
      <c r="AQ67" s="171"/>
      <c r="AR67" s="172"/>
      <c r="AS67" s="73"/>
      <c r="AT67" s="73"/>
      <c r="AU67" s="73"/>
      <c r="AV67" s="73"/>
      <c r="AW67" s="73"/>
      <c r="AX67" s="73"/>
      <c r="AY67" s="73"/>
      <c r="AZ67" s="73"/>
      <c r="BA67" s="73"/>
    </row>
    <row r="68" spans="1:56" s="9" customFormat="1" ht="42" customHeight="1" x14ac:dyDescent="0.25">
      <c r="A68" s="790" t="s">
        <v>1081</v>
      </c>
      <c r="B68" s="2693" t="s">
        <v>1083</v>
      </c>
      <c r="C68" s="2694"/>
      <c r="D68" s="2695"/>
      <c r="E68" s="791"/>
      <c r="F68" s="1672">
        <v>0</v>
      </c>
      <c r="G68" s="2671">
        <v>0</v>
      </c>
      <c r="H68" s="2672"/>
      <c r="I68" s="2671">
        <v>0</v>
      </c>
      <c r="J68" s="2672"/>
      <c r="K68" s="793">
        <f>F68-G68+I68</f>
        <v>0</v>
      </c>
      <c r="L68" s="2679" t="s">
        <v>280</v>
      </c>
      <c r="M68" s="2680"/>
      <c r="N68" s="2680"/>
      <c r="O68" s="2680"/>
      <c r="P68" s="2680"/>
      <c r="Q68" s="2680"/>
      <c r="R68" s="2680"/>
      <c r="S68" s="2680"/>
      <c r="T68" s="2680"/>
      <c r="U68" s="2680"/>
      <c r="V68" s="2680"/>
      <c r="W68" s="2680"/>
      <c r="X68" s="2680"/>
      <c r="Y68" s="2680"/>
      <c r="Z68" s="2681"/>
      <c r="AM68" s="171"/>
      <c r="AN68" s="171"/>
      <c r="AO68" s="171"/>
      <c r="AP68" s="171"/>
      <c r="AQ68" s="171"/>
      <c r="AR68" s="172"/>
      <c r="AS68" s="73"/>
      <c r="AT68" s="73"/>
      <c r="AU68" s="73"/>
      <c r="AV68" s="73"/>
      <c r="AW68" s="73"/>
      <c r="AX68" s="73"/>
      <c r="AY68" s="73"/>
      <c r="AZ68" s="73"/>
      <c r="BA68" s="73"/>
    </row>
    <row r="69" spans="1:56" s="9" customFormat="1" ht="38.25" customHeight="1" x14ac:dyDescent="0.25">
      <c r="A69" s="790" t="s">
        <v>394</v>
      </c>
      <c r="B69" s="2661" t="s">
        <v>921</v>
      </c>
      <c r="C69" s="2662"/>
      <c r="D69" s="2663"/>
      <c r="E69" s="791">
        <v>1410</v>
      </c>
      <c r="F69" s="797">
        <v>23681096</v>
      </c>
      <c r="G69" s="2495">
        <f>222087+44223</f>
        <v>266310</v>
      </c>
      <c r="H69" s="2496"/>
      <c r="I69" s="2495"/>
      <c r="J69" s="2496"/>
      <c r="K69" s="793">
        <f>F69-G69+I69+H54-F54</f>
        <v>23414786</v>
      </c>
      <c r="L69" s="798">
        <f>G11-G12+G21-G22</f>
        <v>23681096</v>
      </c>
      <c r="M69" s="799">
        <f>'Звіт   9'!H61</f>
        <v>23681.1</v>
      </c>
      <c r="N69" s="799">
        <f>AE11-AE12+AE21-AE22</f>
        <v>23414786</v>
      </c>
      <c r="O69" s="799">
        <f>'Звіт   9'!K61</f>
        <v>23414.799999999999</v>
      </c>
      <c r="P69" s="800" t="str">
        <f>IF('Звіт   4,5,6'!E43=0,"Дані не введено",IF(AND((ROUND(K69/1000,1)-ROUND(N69/1000,1))&lt;=1,(ROUND(K69/1000,1)-ROUND(N69/1000,1))&gt;=-1,(ROUND(K69/1000,1)-ROUND(O69,1))&lt;=1,(ROUND(K69/1000,1)-ROUND(O69,1))&gt;=-1,(ROUND(F69/1000,1)-ROUND(L69/1000,1))&lt;=1,(ROUND(F69/1000,1)-ROUND(L69/1000,1))&gt;=-1,(ROUND(F69/1000,1)-ROUND(M69,1))&lt;=1,(ROUND(F69/1000,1)-ROUND(M69,1))&gt;=-1,AE10&gt;=0,AE19&gt;=0),"ПРАВДА","ПОМИЛКА"))</f>
        <v>ПРАВДА</v>
      </c>
      <c r="Q69" s="801">
        <f>T22+T12</f>
        <v>266310</v>
      </c>
      <c r="R69" s="802">
        <f>I81</f>
        <v>0</v>
      </c>
      <c r="S69" s="633" t="str">
        <f>IF('Звіт   4,5,6'!E43=0,"Дані не введено",IF(AND((G69-(Q69+R69))&lt;=10,(G69-(Q69+R69))&gt;=-10),"ПРАВДА","ПОМИЛКА"))</f>
        <v>ПРАВДА</v>
      </c>
      <c r="T69" s="2595">
        <f>N17</f>
        <v>0</v>
      </c>
      <c r="U69" s="2443"/>
      <c r="V69" s="2443">
        <f>T17</f>
        <v>0</v>
      </c>
      <c r="W69" s="2443"/>
      <c r="X69" s="2631">
        <f>N21+N11</f>
        <v>0</v>
      </c>
      <c r="Y69" s="2632"/>
      <c r="Z69" s="633" t="str">
        <f>IF('Звіт   4,5,6'!E43=0,"Дані не введено",IF(AND((I69-T69)&lt;=10,(I69-T69)&gt;=-10,(T69-V69)&lt;=10,(T69-V69)&gt;=-10,(V69-X69)&lt;=10,(V69-X69)&gt;=-10,AE17=0),"ПРАВДА","ПОМИЛКА"))</f>
        <v>ПРАВДА</v>
      </c>
      <c r="AM69" s="171"/>
      <c r="AN69" s="171"/>
      <c r="AO69" s="171"/>
      <c r="AP69" s="171"/>
      <c r="AQ69" s="171"/>
      <c r="AR69" s="172"/>
      <c r="AS69" s="73"/>
      <c r="AT69" s="73"/>
      <c r="AU69" s="73"/>
      <c r="AV69" s="73"/>
      <c r="AW69" s="73"/>
      <c r="AX69" s="73"/>
      <c r="AY69" s="73"/>
      <c r="AZ69" s="73"/>
      <c r="BA69" s="73"/>
    </row>
    <row r="70" spans="1:56" s="9" customFormat="1" ht="38.25" customHeight="1" x14ac:dyDescent="0.25">
      <c r="A70" s="790" t="s">
        <v>1082</v>
      </c>
      <c r="B70" s="2693" t="s">
        <v>1083</v>
      </c>
      <c r="C70" s="2694"/>
      <c r="D70" s="2695"/>
      <c r="E70" s="791"/>
      <c r="F70" s="1701"/>
      <c r="G70" s="2495">
        <v>0</v>
      </c>
      <c r="H70" s="2496"/>
      <c r="I70" s="2495"/>
      <c r="J70" s="2496"/>
      <c r="K70" s="793">
        <f>F70-G70+I70</f>
        <v>0</v>
      </c>
      <c r="L70" s="2673" t="s">
        <v>280</v>
      </c>
      <c r="M70" s="2674"/>
      <c r="N70" s="2674"/>
      <c r="O70" s="2674"/>
      <c r="P70" s="2674"/>
      <c r="Q70" s="2674"/>
      <c r="R70" s="2674"/>
      <c r="S70" s="2674"/>
      <c r="T70" s="2674"/>
      <c r="U70" s="2674"/>
      <c r="V70" s="2674"/>
      <c r="W70" s="2674"/>
      <c r="X70" s="2674"/>
      <c r="Y70" s="2674"/>
      <c r="Z70" s="2675"/>
      <c r="AB70" s="482"/>
      <c r="AC70" s="482"/>
      <c r="AD70" s="483"/>
      <c r="AE70" s="483"/>
      <c r="AF70" s="483"/>
      <c r="AG70" s="483"/>
      <c r="AH70" s="429"/>
      <c r="AM70" s="171"/>
      <c r="AN70" s="171"/>
      <c r="AO70" s="171"/>
      <c r="AP70" s="171"/>
      <c r="AQ70" s="171"/>
      <c r="AR70" s="172"/>
      <c r="AS70" s="73"/>
      <c r="AT70" s="73"/>
      <c r="AU70" s="73"/>
      <c r="AV70" s="73"/>
      <c r="AW70" s="73"/>
      <c r="AX70" s="73"/>
      <c r="AY70" s="73"/>
      <c r="AZ70" s="73"/>
      <c r="BA70" s="73"/>
    </row>
    <row r="71" spans="1:56" s="9" customFormat="1" ht="42" customHeight="1" x14ac:dyDescent="0.25">
      <c r="A71" s="803" t="s">
        <v>395</v>
      </c>
      <c r="B71" s="2665" t="s">
        <v>922</v>
      </c>
      <c r="C71" s="2665"/>
      <c r="D71" s="2666"/>
      <c r="E71" s="804">
        <v>1665</v>
      </c>
      <c r="F71" s="1702">
        <v>244911</v>
      </c>
      <c r="G71" s="2497">
        <f>100299+381305</f>
        <v>481604</v>
      </c>
      <c r="H71" s="2498"/>
      <c r="I71" s="2497">
        <v>1951342</v>
      </c>
      <c r="J71" s="2498"/>
      <c r="K71" s="805">
        <f>F71-G71+I71</f>
        <v>1714649</v>
      </c>
      <c r="L71" s="2676"/>
      <c r="M71" s="2677"/>
      <c r="N71" s="2677"/>
      <c r="O71" s="2677"/>
      <c r="P71" s="2677"/>
      <c r="Q71" s="2677"/>
      <c r="R71" s="2677"/>
      <c r="S71" s="2677"/>
      <c r="T71" s="2677"/>
      <c r="U71" s="2677"/>
      <c r="V71" s="2677"/>
      <c r="W71" s="2677"/>
      <c r="X71" s="2677"/>
      <c r="Y71" s="2677"/>
      <c r="Z71" s="2678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</row>
    <row r="72" spans="1:56" s="9" customFormat="1" ht="58.9" customHeight="1" thickBot="1" x14ac:dyDescent="0.3">
      <c r="A72" s="783" t="s">
        <v>398</v>
      </c>
      <c r="B72" s="2667" t="s">
        <v>423</v>
      </c>
      <c r="C72" s="2667"/>
      <c r="D72" s="2668"/>
      <c r="E72" s="806"/>
      <c r="F72" s="807">
        <v>244900</v>
      </c>
      <c r="G72" s="2497">
        <f>100299+381305</f>
        <v>481604</v>
      </c>
      <c r="H72" s="2498"/>
      <c r="I72" s="2497">
        <v>1951342</v>
      </c>
      <c r="J72" s="2498"/>
      <c r="K72" s="808">
        <f>F72-G72+I72</f>
        <v>1714638</v>
      </c>
      <c r="L72" s="809">
        <f>I11-I12+I21-I22</f>
        <v>244911</v>
      </c>
      <c r="M72" s="810">
        <f>'Звіт   9'!H98</f>
        <v>244.9</v>
      </c>
      <c r="N72" s="810">
        <f>AF11-AF12+AF21-AF22</f>
        <v>1714649</v>
      </c>
      <c r="O72" s="810">
        <f>'Звіт   9'!K98</f>
        <v>1714.6</v>
      </c>
      <c r="P72" s="811" t="str">
        <f>IF('Звіт   4,5,6'!E43=0,"Дані не введено",IF(AND((ROUND(K72/1000,1)-ROUND(N72/1000,1))&lt;=1,(ROUND(K72/1000,1)-ROUND(N72/1000,1))&gt;=-1,(ROUND(K72/1000,1)-ROUND(O72,1))&lt;=1,(ROUND(K72/1000,1)-ROUND(O72,1))&gt;=-1,(ROUND(F72/1000,1)-ROUND(L72/1000,1))&lt;=1,(ROUND(F72/1000,1)-ROUND(L72/1000,1))&gt;=-1,(ROUND(F72/1000,1)-ROUND(M72,1))&lt;=1,(ROUND(F72/1000,1)-ROUND(M72,1))&gt;=-1,AF10&gt;=0,AF19&gt;=0),"ПРАВДА","ПОМИЛКА"))</f>
        <v>ПРАВДА</v>
      </c>
      <c r="Q72" s="809">
        <f>V22+V12</f>
        <v>100299</v>
      </c>
      <c r="R72" s="810">
        <f>I80</f>
        <v>381305</v>
      </c>
      <c r="S72" s="812" t="str">
        <f>IF('Звіт   4,5,6'!E43=0,"Дані не введено",IF(AND((G72-(Q72+R72))&lt;=10,(G72-(Q72+R72))&gt;=-10),"ПРАВДА","ПОМИЛКА"))</f>
        <v>ПРАВДА</v>
      </c>
      <c r="T72" s="2629">
        <f>V17</f>
        <v>1951342</v>
      </c>
      <c r="U72" s="2630"/>
      <c r="V72" s="2630">
        <f>O21+O11</f>
        <v>1951342</v>
      </c>
      <c r="W72" s="2630"/>
      <c r="X72" s="2633" t="s">
        <v>280</v>
      </c>
      <c r="Y72" s="2634"/>
      <c r="Z72" s="812" t="str">
        <f>IF('Звіт   4,5,6'!E43=0,"Дані не введено",IF(AND((I72-V72)&lt;=10,(I72-V72)&gt;=-10,(T72-V72)&lt;=10,(T72-V72)&gt;=-10),"ПРАВДА","ПОМИЛКА"))</f>
        <v>ПРАВДА</v>
      </c>
      <c r="AA72" s="42"/>
      <c r="AD72" s="212"/>
      <c r="AE72" s="212"/>
      <c r="AF72" s="212"/>
      <c r="AG72" s="212"/>
      <c r="AH72" s="212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</row>
    <row r="73" spans="1:56" s="9" customFormat="1" ht="42.75" customHeight="1" x14ac:dyDescent="0.3">
      <c r="A73" s="813" t="s">
        <v>428</v>
      </c>
      <c r="B73" s="202"/>
      <c r="C73" s="202"/>
      <c r="D73" s="202"/>
      <c r="E73" s="202"/>
      <c r="F73" s="202"/>
      <c r="O73" s="42"/>
      <c r="P73" s="42"/>
      <c r="S73" s="42"/>
      <c r="V73" s="233"/>
      <c r="W73" s="233"/>
      <c r="X73" s="233"/>
      <c r="Y73" s="232"/>
      <c r="Z73" s="42"/>
      <c r="AM73" s="212"/>
      <c r="AN73" s="212"/>
      <c r="AO73" s="132"/>
      <c r="AP73" s="76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</row>
    <row r="74" spans="1:56" s="9" customFormat="1" ht="71.25" customHeight="1" x14ac:dyDescent="0.3">
      <c r="A74" s="2696" t="s">
        <v>1199</v>
      </c>
      <c r="B74" s="2696"/>
      <c r="C74" s="2696"/>
      <c r="D74" s="2696"/>
      <c r="E74" s="2696"/>
      <c r="F74" s="2696"/>
      <c r="G74" s="2696"/>
      <c r="H74" s="2696"/>
      <c r="I74" s="2697"/>
      <c r="J74" s="2697"/>
      <c r="M74" s="961"/>
      <c r="N74" s="164"/>
      <c r="O74" s="986"/>
      <c r="P74" s="986"/>
      <c r="Q74" s="164"/>
      <c r="R74" s="164"/>
      <c r="S74" s="986"/>
      <c r="T74" s="164"/>
      <c r="U74" s="164"/>
      <c r="V74" s="1569"/>
      <c r="W74" s="1569"/>
      <c r="X74" s="1569"/>
      <c r="Y74" s="1570"/>
      <c r="Z74" s="986"/>
      <c r="AM74" s="212"/>
      <c r="AN74" s="212"/>
      <c r="AO74" s="132"/>
      <c r="AP74" s="76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</row>
    <row r="75" spans="1:56" s="9" customFormat="1" ht="78.75" customHeight="1" x14ac:dyDescent="0.3">
      <c r="A75" s="397" t="s">
        <v>37</v>
      </c>
      <c r="B75" s="2119" t="s">
        <v>7</v>
      </c>
      <c r="C75" s="2119"/>
      <c r="D75" s="2119"/>
      <c r="E75" s="2119"/>
      <c r="F75" s="2119"/>
      <c r="G75" s="2119"/>
      <c r="H75" s="2119"/>
      <c r="I75" s="2413" t="s">
        <v>8</v>
      </c>
      <c r="J75" s="2413"/>
      <c r="K75" s="2412" t="s">
        <v>1979</v>
      </c>
      <c r="L75" s="2412"/>
      <c r="M75" s="2413" t="s">
        <v>1977</v>
      </c>
      <c r="N75" s="2413"/>
      <c r="O75" s="1619"/>
      <c r="P75" s="1619"/>
      <c r="Q75" s="164"/>
      <c r="R75" s="164"/>
      <c r="S75" s="986"/>
      <c r="T75" s="164"/>
      <c r="U75" s="164"/>
      <c r="V75" s="1569"/>
      <c r="W75" s="1569"/>
      <c r="X75" s="1569"/>
      <c r="Y75" s="1570"/>
      <c r="Z75" s="986"/>
      <c r="AM75" s="212"/>
      <c r="AN75" s="212"/>
      <c r="AO75" s="132"/>
      <c r="AP75" s="76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</row>
    <row r="76" spans="1:56" s="9" customFormat="1" ht="28.35" customHeight="1" x14ac:dyDescent="0.3">
      <c r="A76" s="397">
        <v>1</v>
      </c>
      <c r="B76" s="2669">
        <v>2</v>
      </c>
      <c r="C76" s="2669"/>
      <c r="D76" s="2669"/>
      <c r="E76" s="2669"/>
      <c r="F76" s="2669"/>
      <c r="G76" s="2669"/>
      <c r="H76" s="2669"/>
      <c r="I76" s="2669">
        <v>3</v>
      </c>
      <c r="J76" s="2669"/>
      <c r="K76" s="2411" t="s">
        <v>2013</v>
      </c>
      <c r="L76" s="2412"/>
      <c r="M76" s="2412" t="s">
        <v>2012</v>
      </c>
      <c r="N76" s="2412"/>
      <c r="O76" s="1618"/>
      <c r="P76" s="1618"/>
      <c r="Q76" s="164"/>
      <c r="R76" s="164"/>
      <c r="S76" s="986"/>
      <c r="T76" s="164"/>
      <c r="U76" s="164"/>
      <c r="V76" s="1569"/>
      <c r="W76" s="1569"/>
      <c r="X76" s="1569"/>
      <c r="Y76" s="1570"/>
      <c r="Z76" s="986"/>
      <c r="AM76" s="212"/>
      <c r="AN76" s="212"/>
      <c r="AO76" s="132"/>
      <c r="AP76" s="76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</row>
    <row r="77" spans="1:56" s="9" customFormat="1" ht="50.25" customHeight="1" x14ac:dyDescent="0.3">
      <c r="A77" s="397" t="s">
        <v>419</v>
      </c>
      <c r="B77" s="2658" t="s">
        <v>1978</v>
      </c>
      <c r="C77" s="2658"/>
      <c r="D77" s="2658"/>
      <c r="E77" s="2658"/>
      <c r="F77" s="2658"/>
      <c r="G77" s="2658"/>
      <c r="H77" s="2658"/>
      <c r="I77" s="2443">
        <f>K77+M77</f>
        <v>0</v>
      </c>
      <c r="J77" s="2443"/>
      <c r="K77" s="2441"/>
      <c r="L77" s="2442"/>
      <c r="M77" s="2443">
        <f>'Звіт Пацієнт '!G47</f>
        <v>0</v>
      </c>
      <c r="N77" s="2443"/>
      <c r="O77" s="1620"/>
      <c r="P77" s="1620"/>
      <c r="Q77" s="164"/>
      <c r="R77" s="164"/>
      <c r="S77" s="986"/>
      <c r="T77" s="164"/>
      <c r="U77" s="164"/>
      <c r="V77" s="1569"/>
      <c r="W77" s="1569"/>
      <c r="X77" s="1569"/>
      <c r="Y77" s="1570"/>
      <c r="Z77" s="986"/>
      <c r="AM77" s="212"/>
      <c r="AN77" s="212"/>
      <c r="AO77" s="132"/>
      <c r="AP77" s="76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</row>
    <row r="78" spans="1:56" s="9" customFormat="1" ht="54" customHeight="1" x14ac:dyDescent="0.3">
      <c r="A78" s="397" t="s">
        <v>687</v>
      </c>
      <c r="B78" s="2658" t="s">
        <v>734</v>
      </c>
      <c r="C78" s="2658"/>
      <c r="D78" s="2658"/>
      <c r="E78" s="2658"/>
      <c r="F78" s="2658"/>
      <c r="G78" s="2658"/>
      <c r="H78" s="2658"/>
      <c r="I78" s="2441">
        <v>0</v>
      </c>
      <c r="J78" s="2442"/>
      <c r="M78" s="164"/>
      <c r="N78" s="164"/>
      <c r="O78" s="986"/>
      <c r="P78" s="986"/>
      <c r="Q78" s="164"/>
      <c r="R78" s="164"/>
      <c r="S78" s="986"/>
      <c r="T78" s="164"/>
      <c r="U78" s="164"/>
      <c r="V78" s="1569"/>
      <c r="W78" s="1569"/>
      <c r="X78" s="1569"/>
      <c r="Y78" s="1570"/>
      <c r="Z78" s="986"/>
      <c r="AM78" s="212"/>
      <c r="AN78" s="212"/>
      <c r="AO78" s="132"/>
      <c r="AP78" s="76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</row>
    <row r="79" spans="1:56" s="9" customFormat="1" ht="36.75" customHeight="1" x14ac:dyDescent="0.3">
      <c r="A79" s="397" t="s">
        <v>750</v>
      </c>
      <c r="B79" s="2658" t="s">
        <v>751</v>
      </c>
      <c r="C79" s="2658"/>
      <c r="D79" s="2658"/>
      <c r="E79" s="2658"/>
      <c r="F79" s="2658"/>
      <c r="G79" s="2658"/>
      <c r="H79" s="2658"/>
      <c r="I79" s="2441"/>
      <c r="J79" s="2442"/>
      <c r="M79" s="164"/>
      <c r="N79" s="164"/>
      <c r="O79" s="986"/>
      <c r="P79" s="986"/>
      <c r="Q79" s="164"/>
      <c r="R79" s="164"/>
      <c r="S79" s="986"/>
      <c r="T79" s="164"/>
      <c r="U79" s="164"/>
      <c r="V79" s="1569"/>
      <c r="W79" s="1569"/>
      <c r="X79" s="1569"/>
      <c r="Y79" s="1570"/>
      <c r="Z79" s="986"/>
      <c r="AM79" s="212"/>
      <c r="AN79" s="212"/>
      <c r="AO79" s="132"/>
      <c r="AP79" s="76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</row>
    <row r="80" spans="1:56" s="9" customFormat="1" ht="46.5" customHeight="1" x14ac:dyDescent="0.3">
      <c r="A80" s="397" t="s">
        <v>420</v>
      </c>
      <c r="B80" s="2658" t="s">
        <v>627</v>
      </c>
      <c r="C80" s="2658"/>
      <c r="D80" s="2658"/>
      <c r="E80" s="2658"/>
      <c r="F80" s="2658"/>
      <c r="G80" s="2658"/>
      <c r="H80" s="2658"/>
      <c r="I80" s="2441">
        <v>381305</v>
      </c>
      <c r="J80" s="2442"/>
      <c r="M80" s="164"/>
      <c r="N80" s="164"/>
      <c r="O80" s="986"/>
      <c r="P80" s="986"/>
      <c r="Q80" s="164"/>
      <c r="R80" s="164"/>
      <c r="S80" s="986"/>
      <c r="T80" s="164"/>
      <c r="U80" s="164"/>
      <c r="V80" s="1569"/>
      <c r="W80" s="1569"/>
      <c r="X80" s="1569"/>
      <c r="Y80" s="1570"/>
      <c r="Z80" s="986"/>
      <c r="AM80" s="212"/>
      <c r="AN80" s="212"/>
      <c r="AO80" s="132"/>
      <c r="AP80" s="76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</row>
    <row r="81" spans="1:56" s="9" customFormat="1" ht="46.5" customHeight="1" x14ac:dyDescent="0.3">
      <c r="A81" s="397" t="s">
        <v>421</v>
      </c>
      <c r="B81" s="2658" t="s">
        <v>628</v>
      </c>
      <c r="C81" s="2658"/>
      <c r="D81" s="2658"/>
      <c r="E81" s="2658"/>
      <c r="F81" s="2658"/>
      <c r="G81" s="2658"/>
      <c r="H81" s="2658"/>
      <c r="I81" s="2441">
        <v>0</v>
      </c>
      <c r="J81" s="2442"/>
      <c r="M81" s="164"/>
      <c r="N81" s="164"/>
      <c r="O81" s="986"/>
      <c r="P81" s="986"/>
      <c r="Q81" s="164"/>
      <c r="R81" s="164"/>
      <c r="S81" s="986"/>
      <c r="T81" s="164"/>
      <c r="U81" s="164"/>
      <c r="V81" s="1569"/>
      <c r="W81" s="1569"/>
      <c r="X81" s="1569"/>
      <c r="Y81" s="1570"/>
      <c r="Z81" s="986"/>
      <c r="AM81" s="212"/>
      <c r="AN81" s="212"/>
      <c r="AO81" s="132"/>
      <c r="AP81" s="76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</row>
    <row r="82" spans="1:56" s="9" customFormat="1" ht="36.75" customHeight="1" x14ac:dyDescent="0.3">
      <c r="A82" s="397" t="s">
        <v>422</v>
      </c>
      <c r="B82" s="2658" t="s">
        <v>1067</v>
      </c>
      <c r="C82" s="2658"/>
      <c r="D82" s="2658"/>
      <c r="E82" s="2658"/>
      <c r="F82" s="2658"/>
      <c r="G82" s="2658"/>
      <c r="H82" s="2658"/>
      <c r="I82" s="2441">
        <v>0</v>
      </c>
      <c r="J82" s="2442"/>
      <c r="M82" s="164"/>
      <c r="N82" s="164"/>
      <c r="O82" s="986"/>
      <c r="P82" s="986"/>
      <c r="Q82" s="164"/>
      <c r="R82" s="164"/>
      <c r="S82" s="986"/>
      <c r="T82" s="164"/>
      <c r="U82" s="164"/>
      <c r="V82" s="1569"/>
      <c r="W82" s="1569"/>
      <c r="X82" s="1569"/>
      <c r="Y82" s="1570"/>
      <c r="Z82" s="986"/>
      <c r="AM82" s="212"/>
      <c r="AN82" s="212"/>
      <c r="AO82" s="132"/>
      <c r="AP82" s="76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</row>
    <row r="83" spans="1:56" s="9" customFormat="1" ht="28.35" customHeight="1" x14ac:dyDescent="0.3">
      <c r="A83" s="1629" t="s">
        <v>533</v>
      </c>
      <c r="M83" s="164"/>
      <c r="N83" s="164"/>
      <c r="O83" s="986"/>
      <c r="P83" s="986"/>
      <c r="Q83" s="164"/>
      <c r="R83" s="164"/>
      <c r="S83" s="986"/>
      <c r="T83" s="164"/>
      <c r="U83" s="164"/>
      <c r="V83" s="1569"/>
      <c r="W83" s="1569"/>
      <c r="X83" s="1569"/>
      <c r="Y83" s="1570"/>
      <c r="Z83" s="986"/>
      <c r="AM83" s="212"/>
      <c r="AN83" s="212"/>
      <c r="AO83" s="132"/>
      <c r="AP83" s="76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</row>
    <row r="84" spans="1:56" s="9" customFormat="1" ht="28.35" customHeight="1" x14ac:dyDescent="0.3">
      <c r="A84" s="202"/>
      <c r="B84" s="202"/>
      <c r="C84" s="202"/>
      <c r="D84" s="202"/>
      <c r="E84" s="202"/>
      <c r="F84" s="202"/>
      <c r="M84" s="164"/>
      <c r="N84" s="164"/>
      <c r="O84" s="986"/>
      <c r="P84" s="986"/>
      <c r="Q84" s="164"/>
      <c r="R84" s="164"/>
      <c r="S84" s="986"/>
      <c r="T84" s="164"/>
      <c r="U84" s="164"/>
      <c r="V84" s="1569"/>
      <c r="W84" s="1569"/>
      <c r="X84" s="1569"/>
      <c r="Y84" s="1570"/>
      <c r="Z84" s="986"/>
      <c r="AM84" s="212"/>
      <c r="AN84" s="212"/>
      <c r="AO84" s="132"/>
      <c r="AP84" s="76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</row>
    <row r="85" spans="1:56" s="9" customFormat="1" ht="33" customHeight="1" x14ac:dyDescent="0.3">
      <c r="A85" s="405" t="s">
        <v>1064</v>
      </c>
      <c r="B85" s="200"/>
      <c r="C85" s="13"/>
      <c r="D85" s="13"/>
      <c r="E85" s="201"/>
      <c r="F85" s="201"/>
      <c r="G85" s="814" t="s">
        <v>925</v>
      </c>
      <c r="H85" s="201"/>
      <c r="I85" s="201"/>
      <c r="J85" s="201"/>
      <c r="K85" s="201"/>
      <c r="L85" s="201"/>
      <c r="M85" s="164"/>
      <c r="N85" s="164"/>
      <c r="O85" s="986"/>
      <c r="P85" s="164"/>
      <c r="Q85" s="164"/>
      <c r="R85" s="164"/>
      <c r="S85" s="418"/>
      <c r="T85" s="986"/>
      <c r="U85" s="164"/>
      <c r="V85" s="164"/>
      <c r="W85" s="164"/>
      <c r="X85" s="164"/>
      <c r="Y85" s="164"/>
      <c r="Z85" s="164"/>
      <c r="AM85" s="73"/>
      <c r="AN85" s="73"/>
      <c r="AO85" s="73"/>
      <c r="AP85" s="73"/>
      <c r="AQ85" s="73"/>
      <c r="AR85" s="73"/>
      <c r="AS85" s="73"/>
      <c r="AT85" s="73"/>
      <c r="AU85" s="73"/>
      <c r="AV85" s="73"/>
    </row>
    <row r="86" spans="1:56" s="9" customFormat="1" ht="53.25" customHeight="1" x14ac:dyDescent="0.35">
      <c r="A86" s="815" t="s">
        <v>461</v>
      </c>
      <c r="B86" s="2159" t="s">
        <v>1200</v>
      </c>
      <c r="C86" s="2159"/>
      <c r="D86" s="2159"/>
      <c r="E86" s="2159"/>
      <c r="F86" s="2159"/>
      <c r="G86" s="816">
        <f>G67</f>
        <v>0</v>
      </c>
      <c r="H86" s="2664" t="str">
        <f>IF('Звіт   4,5,6'!E43=0,"Дані не введено",IF(AND(J88="ПРАВДА",K57=1,G86=(G87+G88+G89)),"ПРАВДА",IF(AND(J88="ПРАВДА",K58=2,G86=(G88+G89)),"ПРАВДА","ПОМИЛКА")))</f>
        <v>ПРАВДА</v>
      </c>
      <c r="I86" s="2664"/>
      <c r="J86" s="817"/>
      <c r="K86" s="817"/>
      <c r="M86" s="164"/>
      <c r="N86" s="164"/>
      <c r="O86" s="164"/>
      <c r="P86" s="1571"/>
      <c r="Q86" s="1571"/>
      <c r="R86" s="1571"/>
      <c r="S86" s="1571"/>
      <c r="T86" s="1571"/>
      <c r="U86" s="1571"/>
      <c r="V86" s="1572"/>
      <c r="W86" s="1572"/>
      <c r="X86" s="1572"/>
      <c r="Y86" s="1572"/>
      <c r="Z86" s="1572"/>
      <c r="AA86" s="176"/>
      <c r="AB86" s="176"/>
      <c r="AC86" s="176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73"/>
      <c r="AQ86" s="73"/>
      <c r="AR86" s="73"/>
      <c r="AS86" s="73"/>
      <c r="AT86" s="73"/>
      <c r="AU86" s="73"/>
      <c r="AV86" s="73"/>
    </row>
    <row r="87" spans="1:56" s="9" customFormat="1" ht="85.5" customHeight="1" x14ac:dyDescent="0.35">
      <c r="A87" s="815" t="s">
        <v>923</v>
      </c>
      <c r="B87" s="2159" t="s">
        <v>1207</v>
      </c>
      <c r="C87" s="2159"/>
      <c r="D87" s="2159"/>
      <c r="E87" s="2159"/>
      <c r="F87" s="2159"/>
      <c r="G87" s="818">
        <v>0</v>
      </c>
      <c r="H87" s="520" t="s">
        <v>1178</v>
      </c>
      <c r="I87" s="431"/>
      <c r="J87" s="431"/>
      <c r="K87" s="431"/>
      <c r="M87" s="164"/>
      <c r="N87" s="164"/>
      <c r="O87" s="164"/>
      <c r="P87" s="164"/>
      <c r="Q87" s="164"/>
      <c r="R87" s="164"/>
      <c r="S87" s="1571"/>
      <c r="T87" s="1571"/>
      <c r="U87" s="1571"/>
      <c r="V87" s="1572"/>
      <c r="W87" s="1572"/>
      <c r="X87" s="1572"/>
      <c r="Y87" s="1572"/>
      <c r="Z87" s="1572"/>
      <c r="AA87" s="176"/>
      <c r="AB87" s="176"/>
      <c r="AC87" s="176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73"/>
      <c r="AQ87" s="73"/>
      <c r="AR87" s="73"/>
      <c r="AS87" s="73"/>
      <c r="AT87" s="73"/>
      <c r="AU87" s="73"/>
      <c r="AV87" s="73"/>
    </row>
    <row r="88" spans="1:56" s="9" customFormat="1" ht="64.5" customHeight="1" x14ac:dyDescent="0.35">
      <c r="A88" s="815" t="s">
        <v>924</v>
      </c>
      <c r="B88" s="2159" t="s">
        <v>1208</v>
      </c>
      <c r="C88" s="2159"/>
      <c r="D88" s="2159"/>
      <c r="E88" s="2159"/>
      <c r="F88" s="2159"/>
      <c r="G88" s="1568">
        <f>R25+R15-G87</f>
        <v>0</v>
      </c>
      <c r="H88" s="431" t="s">
        <v>1068</v>
      </c>
      <c r="I88" s="817"/>
      <c r="J88" s="974" t="str">
        <f>IF(G88&lt;0,"ПОМИЛКА","ПРАВДА")</f>
        <v>ПРАВДА</v>
      </c>
      <c r="K88" s="817"/>
      <c r="M88" s="164"/>
      <c r="N88" s="164"/>
      <c r="O88" s="164"/>
      <c r="P88" s="1571"/>
      <c r="Q88" s="1571"/>
      <c r="R88" s="1571"/>
      <c r="S88" s="1571"/>
      <c r="T88" s="1571"/>
      <c r="U88" s="1571"/>
      <c r="V88" s="1572"/>
      <c r="W88" s="1572"/>
      <c r="X88" s="1572"/>
      <c r="Y88" s="1572"/>
      <c r="Z88" s="1572"/>
      <c r="AA88" s="176"/>
      <c r="AB88" s="176"/>
      <c r="AC88" s="176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73"/>
      <c r="AQ88" s="73"/>
      <c r="AR88" s="73"/>
      <c r="AS88" s="73"/>
      <c r="AT88" s="73"/>
      <c r="AU88" s="73"/>
      <c r="AV88" s="73"/>
    </row>
    <row r="89" spans="1:56" s="9" customFormat="1" ht="66" customHeight="1" x14ac:dyDescent="0.35">
      <c r="A89" s="819" t="s">
        <v>1065</v>
      </c>
      <c r="B89" s="2484" t="s">
        <v>1201</v>
      </c>
      <c r="C89" s="2485"/>
      <c r="D89" s="2485"/>
      <c r="E89" s="2485"/>
      <c r="F89" s="2485"/>
      <c r="G89" s="1568">
        <f>I82</f>
        <v>0</v>
      </c>
      <c r="H89" s="431" t="s">
        <v>1068</v>
      </c>
      <c r="I89" s="817"/>
      <c r="J89" s="817"/>
      <c r="K89" s="817"/>
      <c r="M89" s="164"/>
      <c r="N89" s="164"/>
      <c r="O89" s="164"/>
      <c r="P89" s="1571"/>
      <c r="Q89" s="1571"/>
      <c r="R89" s="1571"/>
      <c r="S89" s="1571"/>
      <c r="T89" s="1571"/>
      <c r="U89" s="1571"/>
      <c r="V89" s="1572"/>
      <c r="W89" s="1572"/>
      <c r="X89" s="1572"/>
      <c r="Y89" s="1572"/>
      <c r="Z89" s="1572"/>
      <c r="AA89" s="176"/>
      <c r="AB89" s="176"/>
      <c r="AC89" s="176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73"/>
      <c r="AQ89" s="73"/>
      <c r="AR89" s="73"/>
      <c r="AS89" s="73"/>
      <c r="AT89" s="73"/>
      <c r="AU89" s="73"/>
      <c r="AV89" s="73"/>
    </row>
    <row r="90" spans="1:56" s="79" customFormat="1" ht="30.6" customHeight="1" x14ac:dyDescent="0.35">
      <c r="A90" s="2483"/>
      <c r="B90" s="2483"/>
      <c r="C90" s="2483"/>
      <c r="D90" s="2483"/>
      <c r="E90" s="2483"/>
      <c r="F90" s="2483"/>
      <c r="G90" s="2483"/>
      <c r="H90" s="481"/>
      <c r="I90" s="481"/>
      <c r="J90" s="481"/>
      <c r="K90" s="481"/>
      <c r="L90" s="76"/>
      <c r="M90" s="76"/>
      <c r="N90" s="132"/>
      <c r="O90" s="76"/>
      <c r="P90" s="76"/>
      <c r="Q90" s="1571"/>
      <c r="R90" s="1571"/>
      <c r="S90" s="1571"/>
      <c r="T90" s="1571"/>
      <c r="U90" s="1571"/>
      <c r="V90" s="76"/>
      <c r="W90" s="76"/>
      <c r="X90" s="76"/>
      <c r="Y90" s="76"/>
      <c r="Z90" s="76"/>
      <c r="AA90" s="81"/>
      <c r="AB90" s="81"/>
      <c r="AC90" s="81"/>
      <c r="AD90" s="213"/>
      <c r="AE90" s="214"/>
      <c r="AF90" s="214"/>
      <c r="AG90" s="214"/>
      <c r="AH90" s="214"/>
      <c r="AI90" s="213"/>
      <c r="AJ90" s="213"/>
      <c r="AK90" s="213"/>
      <c r="AL90" s="213"/>
      <c r="AM90" s="213"/>
      <c r="AN90" s="213"/>
      <c r="AO90" s="213"/>
    </row>
    <row r="91" spans="1:56" s="79" customFormat="1" ht="48" customHeight="1" thickBot="1" x14ac:dyDescent="0.35">
      <c r="A91" s="2494" t="s">
        <v>732</v>
      </c>
      <c r="B91" s="2494"/>
      <c r="C91" s="2494"/>
      <c r="D91" s="2494"/>
      <c r="E91" s="197"/>
      <c r="F91" s="199"/>
      <c r="G91" s="163"/>
      <c r="H91" s="163"/>
      <c r="I91" s="163"/>
      <c r="J91" s="163"/>
      <c r="K91" s="163"/>
      <c r="L91" s="163"/>
      <c r="M91" s="163"/>
      <c r="N91" s="163"/>
      <c r="O91" s="170"/>
      <c r="P91" s="2670" t="s">
        <v>248</v>
      </c>
      <c r="Q91" s="2670"/>
      <c r="R91" s="163"/>
      <c r="S91" s="163"/>
      <c r="T91" s="170"/>
      <c r="U91" s="170"/>
      <c r="V91" s="76"/>
      <c r="W91" s="76"/>
      <c r="X91" s="76"/>
      <c r="Y91" s="76"/>
      <c r="Z91" s="76"/>
      <c r="AA91" s="81"/>
      <c r="AB91" s="81"/>
      <c r="AC91" s="81"/>
      <c r="AD91" s="213"/>
      <c r="AE91" s="214"/>
      <c r="AF91" s="214"/>
      <c r="AG91" s="214"/>
      <c r="AH91" s="214"/>
      <c r="AI91" s="213"/>
      <c r="AJ91" s="213"/>
      <c r="AK91" s="213"/>
      <c r="AL91" s="213"/>
      <c r="AM91" s="213"/>
      <c r="AN91" s="213"/>
      <c r="AO91" s="213"/>
    </row>
    <row r="92" spans="1:56" s="79" customFormat="1" ht="31.9" customHeight="1" x14ac:dyDescent="0.3">
      <c r="A92" s="2477" t="s">
        <v>37</v>
      </c>
      <c r="B92" s="2463" t="s">
        <v>412</v>
      </c>
      <c r="C92" s="2463"/>
      <c r="D92" s="2463"/>
      <c r="E92" s="2444" t="s">
        <v>1202</v>
      </c>
      <c r="F92" s="2444" t="s">
        <v>1203</v>
      </c>
      <c r="G92" s="2440" t="s">
        <v>436</v>
      </c>
      <c r="H92" s="2440"/>
      <c r="I92" s="2440"/>
      <c r="J92" s="2440"/>
      <c r="K92" s="2440"/>
      <c r="L92" s="2440" t="s">
        <v>478</v>
      </c>
      <c r="M92" s="2440"/>
      <c r="N92" s="2444" t="s">
        <v>1204</v>
      </c>
      <c r="O92" s="820" t="s">
        <v>437</v>
      </c>
      <c r="P92" s="820" t="s">
        <v>479</v>
      </c>
      <c r="Q92" s="2458" t="s">
        <v>1205</v>
      </c>
      <c r="R92" s="163"/>
      <c r="S92" s="163"/>
      <c r="T92" s="163"/>
      <c r="U92" s="170"/>
      <c r="V92" s="76"/>
      <c r="W92" s="76"/>
      <c r="X92" s="76"/>
      <c r="Y92" s="76"/>
      <c r="Z92" s="76"/>
      <c r="AA92" s="81"/>
      <c r="AB92" s="81"/>
      <c r="AC92" s="81"/>
      <c r="AD92" s="213"/>
      <c r="AE92" s="214"/>
      <c r="AF92" s="214"/>
      <c r="AG92" s="214"/>
      <c r="AH92" s="214"/>
      <c r="AI92" s="213"/>
      <c r="AJ92" s="213"/>
      <c r="AK92" s="213"/>
      <c r="AL92" s="213"/>
      <c r="AM92" s="213"/>
      <c r="AN92" s="213"/>
      <c r="AO92" s="213"/>
    </row>
    <row r="93" spans="1:56" s="79" customFormat="1" ht="85.9" customHeight="1" x14ac:dyDescent="0.3">
      <c r="A93" s="2473"/>
      <c r="B93" s="2464"/>
      <c r="C93" s="2464"/>
      <c r="D93" s="2464"/>
      <c r="E93" s="2445"/>
      <c r="F93" s="2445"/>
      <c r="G93" s="2478" t="s">
        <v>1069</v>
      </c>
      <c r="H93" s="2479"/>
      <c r="I93" s="2478" t="s">
        <v>430</v>
      </c>
      <c r="J93" s="2479"/>
      <c r="K93" s="406" t="s">
        <v>431</v>
      </c>
      <c r="L93" s="821" t="s">
        <v>433</v>
      </c>
      <c r="M93" s="821" t="s">
        <v>432</v>
      </c>
      <c r="N93" s="2445"/>
      <c r="O93" s="406" t="s">
        <v>634</v>
      </c>
      <c r="P93" s="821" t="s">
        <v>434</v>
      </c>
      <c r="Q93" s="2459"/>
      <c r="V93" s="173"/>
      <c r="W93" s="173"/>
      <c r="X93" s="173"/>
      <c r="Y93" s="173"/>
      <c r="Z93" s="173"/>
      <c r="AA93" s="81"/>
      <c r="AB93" s="81"/>
      <c r="AC93" s="81"/>
      <c r="AD93" s="213"/>
      <c r="AE93" s="151"/>
      <c r="AF93" s="214"/>
      <c r="AG93" s="214"/>
      <c r="AH93" s="214"/>
      <c r="AI93" s="213"/>
      <c r="AJ93" s="213"/>
      <c r="AK93" s="213"/>
      <c r="AL93" s="213"/>
      <c r="AM93" s="213"/>
      <c r="AN93" s="213"/>
      <c r="AO93" s="213"/>
    </row>
    <row r="94" spans="1:56" s="79" customFormat="1" ht="25.9" customHeight="1" x14ac:dyDescent="0.3">
      <c r="A94" s="822">
        <v>1</v>
      </c>
      <c r="B94" s="2464">
        <v>2</v>
      </c>
      <c r="C94" s="2464"/>
      <c r="D94" s="2464"/>
      <c r="E94" s="406">
        <v>3</v>
      </c>
      <c r="F94" s="406">
        <v>4</v>
      </c>
      <c r="G94" s="2478">
        <v>5</v>
      </c>
      <c r="H94" s="2479"/>
      <c r="I94" s="2478">
        <v>6</v>
      </c>
      <c r="J94" s="2479"/>
      <c r="K94" s="406">
        <v>7</v>
      </c>
      <c r="L94" s="406">
        <v>8</v>
      </c>
      <c r="M94" s="406">
        <v>9</v>
      </c>
      <c r="N94" s="406">
        <v>10</v>
      </c>
      <c r="O94" s="406">
        <v>11</v>
      </c>
      <c r="P94" s="406">
        <v>12</v>
      </c>
      <c r="Q94" s="823">
        <v>13</v>
      </c>
      <c r="V94" s="161"/>
      <c r="W94" s="249"/>
      <c r="X94" s="1564"/>
      <c r="Y94" s="161"/>
      <c r="Z94" s="249"/>
      <c r="AA94" s="104"/>
      <c r="AB94" s="104"/>
      <c r="AC94" s="104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</row>
    <row r="95" spans="1:56" s="76" customFormat="1" ht="33.6" customHeight="1" x14ac:dyDescent="0.3">
      <c r="A95" s="2473" t="s">
        <v>471</v>
      </c>
      <c r="B95" s="2660" t="s">
        <v>122</v>
      </c>
      <c r="C95" s="2660"/>
      <c r="D95" s="2660"/>
      <c r="E95" s="824">
        <f>F67</f>
        <v>0</v>
      </c>
      <c r="F95" s="824">
        <f>G67</f>
        <v>0</v>
      </c>
      <c r="G95" s="2682">
        <f>IF(K57=1,G86-G89,IF(K58=2,G88))</f>
        <v>0</v>
      </c>
      <c r="H95" s="2683"/>
      <c r="I95" s="2682">
        <f>I82</f>
        <v>0</v>
      </c>
      <c r="J95" s="2683"/>
      <c r="K95" s="824" t="s">
        <v>280</v>
      </c>
      <c r="L95" s="825">
        <f>F95-(G95+I95)</f>
        <v>0</v>
      </c>
      <c r="M95" s="826" t="s">
        <v>396</v>
      </c>
      <c r="N95" s="824">
        <f>I67</f>
        <v>0</v>
      </c>
      <c r="O95" s="827">
        <f>IF(K57=1,M14+M24,IF(K58=2,M14+M24-G87))</f>
        <v>0</v>
      </c>
      <c r="P95" s="825">
        <f>N95-O95</f>
        <v>0</v>
      </c>
      <c r="Q95" s="828">
        <f>K67</f>
        <v>0</v>
      </c>
      <c r="V95" s="166"/>
      <c r="W95" s="166"/>
      <c r="X95" s="166"/>
      <c r="Y95" s="166"/>
      <c r="Z95" s="166"/>
      <c r="AA95" s="104"/>
      <c r="AB95" s="104"/>
      <c r="AC95" s="104"/>
      <c r="AD95" s="213"/>
      <c r="AE95" s="214"/>
      <c r="AF95" s="214"/>
      <c r="AG95" s="214"/>
      <c r="AH95" s="214"/>
      <c r="AI95" s="213"/>
      <c r="AJ95" s="213"/>
      <c r="AK95" s="213"/>
      <c r="AL95" s="213"/>
      <c r="AM95" s="213"/>
      <c r="AN95" s="213"/>
      <c r="AO95" s="213"/>
    </row>
    <row r="96" spans="1:56" s="76" customFormat="1" ht="84" customHeight="1" x14ac:dyDescent="0.3">
      <c r="A96" s="2473"/>
      <c r="B96" s="2660"/>
      <c r="C96" s="2660"/>
      <c r="D96" s="2660"/>
      <c r="E96" s="829"/>
      <c r="F96" s="829"/>
      <c r="G96" s="2481" t="s">
        <v>1070</v>
      </c>
      <c r="H96" s="2482"/>
      <c r="I96" s="2481" t="s">
        <v>424</v>
      </c>
      <c r="J96" s="2482"/>
      <c r="K96" s="830"/>
      <c r="L96" s="830"/>
      <c r="M96" s="830"/>
      <c r="N96" s="830"/>
      <c r="O96" s="733" t="s">
        <v>1206</v>
      </c>
      <c r="P96" s="830"/>
      <c r="Q96" s="831"/>
      <c r="V96" s="166"/>
      <c r="W96" s="166"/>
      <c r="X96" s="166"/>
      <c r="Y96" s="166"/>
      <c r="Z96" s="166"/>
      <c r="AA96" s="104"/>
      <c r="AB96" s="104"/>
      <c r="AC96" s="104"/>
      <c r="AD96" s="213"/>
      <c r="AE96" s="214"/>
      <c r="AF96" s="214"/>
      <c r="AG96" s="214"/>
      <c r="AH96" s="214"/>
      <c r="AI96" s="213"/>
      <c r="AJ96" s="213"/>
      <c r="AK96" s="213"/>
      <c r="AL96" s="213"/>
      <c r="AM96" s="213"/>
      <c r="AN96" s="213"/>
      <c r="AO96" s="213"/>
    </row>
    <row r="97" spans="1:41" s="76" customFormat="1" ht="69" customHeight="1" x14ac:dyDescent="0.3">
      <c r="A97" s="2473" t="s">
        <v>472</v>
      </c>
      <c r="B97" s="2660" t="s">
        <v>123</v>
      </c>
      <c r="C97" s="2660"/>
      <c r="D97" s="2660"/>
      <c r="E97" s="824">
        <f>F69</f>
        <v>23681096</v>
      </c>
      <c r="F97" s="824">
        <f>G69+F54</f>
        <v>266310</v>
      </c>
      <c r="G97" s="2682">
        <f>'Звіт   4,5,6'!H28</f>
        <v>266310</v>
      </c>
      <c r="H97" s="2683"/>
      <c r="I97" s="2682">
        <f>I81</f>
        <v>0</v>
      </c>
      <c r="J97" s="2683"/>
      <c r="K97" s="824">
        <f>T12+T22+F54</f>
        <v>266310</v>
      </c>
      <c r="L97" s="825">
        <f>F97-(G97+I97)</f>
        <v>0</v>
      </c>
      <c r="M97" s="825">
        <f>G97-K97</f>
        <v>0</v>
      </c>
      <c r="N97" s="827">
        <f>I69</f>
        <v>0</v>
      </c>
      <c r="O97" s="827">
        <f>N11+N21</f>
        <v>0</v>
      </c>
      <c r="P97" s="825">
        <f>N97-O97</f>
        <v>0</v>
      </c>
      <c r="Q97" s="828">
        <f>K69</f>
        <v>23414786</v>
      </c>
      <c r="V97" s="174"/>
      <c r="W97" s="174"/>
      <c r="X97" s="174"/>
      <c r="Y97" s="174"/>
      <c r="Z97" s="174"/>
      <c r="AA97" s="104"/>
      <c r="AB97" s="104"/>
      <c r="AC97" s="104"/>
      <c r="AD97" s="213"/>
      <c r="AE97" s="214"/>
      <c r="AF97" s="214"/>
      <c r="AG97" s="214"/>
      <c r="AH97" s="214"/>
      <c r="AI97" s="213"/>
      <c r="AJ97" s="213"/>
      <c r="AK97" s="213"/>
      <c r="AL97" s="213"/>
      <c r="AM97" s="213"/>
      <c r="AN97" s="213"/>
      <c r="AO97" s="213"/>
    </row>
    <row r="98" spans="1:41" s="76" customFormat="1" ht="135.75" customHeight="1" x14ac:dyDescent="0.3">
      <c r="A98" s="2473"/>
      <c r="B98" s="2660"/>
      <c r="C98" s="2660"/>
      <c r="D98" s="2660"/>
      <c r="E98" s="829"/>
      <c r="F98" s="733" t="s">
        <v>1193</v>
      </c>
      <c r="G98" s="2481" t="s">
        <v>729</v>
      </c>
      <c r="H98" s="2482"/>
      <c r="I98" s="2481" t="s">
        <v>642</v>
      </c>
      <c r="J98" s="2482"/>
      <c r="K98" s="733" t="s">
        <v>1194</v>
      </c>
      <c r="L98" s="829"/>
      <c r="M98" s="829"/>
      <c r="N98" s="733" t="s">
        <v>429</v>
      </c>
      <c r="O98" s="733" t="s">
        <v>705</v>
      </c>
      <c r="P98" s="829"/>
      <c r="Q98" s="832"/>
      <c r="V98" s="174"/>
      <c r="W98" s="174"/>
      <c r="X98" s="174"/>
      <c r="Y98" s="174"/>
      <c r="Z98" s="174"/>
      <c r="AA98" s="104"/>
      <c r="AB98" s="104"/>
      <c r="AC98" s="104"/>
      <c r="AD98" s="213"/>
      <c r="AE98" s="151"/>
      <c r="AF98" s="214"/>
      <c r="AG98" s="214"/>
      <c r="AH98" s="214"/>
      <c r="AI98" s="213"/>
      <c r="AJ98" s="213"/>
      <c r="AK98" s="213"/>
      <c r="AL98" s="213"/>
      <c r="AM98" s="213"/>
      <c r="AN98" s="213"/>
      <c r="AO98" s="213"/>
    </row>
    <row r="99" spans="1:41" s="76" customFormat="1" ht="33.6" customHeight="1" x14ac:dyDescent="0.25">
      <c r="A99" s="833" t="s">
        <v>473</v>
      </c>
      <c r="B99" s="2480" t="s">
        <v>52</v>
      </c>
      <c r="C99" s="2480"/>
      <c r="D99" s="2480"/>
      <c r="E99" s="824">
        <f>F71</f>
        <v>244911</v>
      </c>
      <c r="F99" s="824">
        <f>G71</f>
        <v>481604</v>
      </c>
      <c r="G99" s="2682" t="s">
        <v>396</v>
      </c>
      <c r="H99" s="2683"/>
      <c r="I99" s="2682" t="s">
        <v>396</v>
      </c>
      <c r="J99" s="2683"/>
      <c r="K99" s="826" t="s">
        <v>396</v>
      </c>
      <c r="L99" s="826" t="s">
        <v>396</v>
      </c>
      <c r="M99" s="826" t="s">
        <v>396</v>
      </c>
      <c r="N99" s="827">
        <f>I71</f>
        <v>1951342</v>
      </c>
      <c r="O99" s="827" t="s">
        <v>396</v>
      </c>
      <c r="P99" s="826" t="s">
        <v>396</v>
      </c>
      <c r="Q99" s="828">
        <f>K71</f>
        <v>1714649</v>
      </c>
      <c r="V99" s="166"/>
      <c r="W99" s="166"/>
      <c r="X99" s="166"/>
      <c r="Y99" s="166"/>
      <c r="Z99" s="166"/>
      <c r="AA99" s="104"/>
      <c r="AB99" s="104"/>
      <c r="AC99" s="104"/>
      <c r="AD99" s="104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</row>
    <row r="100" spans="1:41" s="76" customFormat="1" ht="38.65" customHeight="1" x14ac:dyDescent="0.25">
      <c r="A100" s="2473" t="s">
        <v>475</v>
      </c>
      <c r="B100" s="2475" t="str">
        <f>B72</f>
        <v>у тому числі  НА, ОЗ, що  придбані за кошти цільового фінансування</v>
      </c>
      <c r="C100" s="2475"/>
      <c r="D100" s="2475"/>
      <c r="E100" s="824">
        <f>F72</f>
        <v>244900</v>
      </c>
      <c r="F100" s="824">
        <f>G72</f>
        <v>481604</v>
      </c>
      <c r="G100" s="2682">
        <f>'Звіт   4,5,6'!H27</f>
        <v>100299</v>
      </c>
      <c r="H100" s="2683"/>
      <c r="I100" s="2682">
        <f>I80</f>
        <v>381305</v>
      </c>
      <c r="J100" s="2683"/>
      <c r="K100" s="824">
        <f>V12+V22</f>
        <v>100299</v>
      </c>
      <c r="L100" s="825">
        <f>F100-(G100+I100)</f>
        <v>0</v>
      </c>
      <c r="M100" s="825">
        <f>G100-K100</f>
        <v>0</v>
      </c>
      <c r="N100" s="827">
        <f>I72</f>
        <v>1951342</v>
      </c>
      <c r="O100" s="827">
        <f>O11+O21</f>
        <v>1951342</v>
      </c>
      <c r="P100" s="825">
        <f>N100-O100</f>
        <v>0</v>
      </c>
      <c r="Q100" s="828">
        <f>K72</f>
        <v>1714638</v>
      </c>
      <c r="V100" s="166"/>
      <c r="W100" s="166"/>
      <c r="X100" s="166"/>
      <c r="Y100" s="166"/>
      <c r="Z100" s="166"/>
      <c r="AA100" s="104"/>
      <c r="AB100" s="104"/>
      <c r="AC100" s="104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</row>
    <row r="101" spans="1:41" s="76" customFormat="1" ht="111.75" customHeight="1" thickBot="1" x14ac:dyDescent="0.3">
      <c r="A101" s="2474"/>
      <c r="B101" s="2476"/>
      <c r="C101" s="2476"/>
      <c r="D101" s="2476"/>
      <c r="E101" s="834"/>
      <c r="F101" s="835"/>
      <c r="G101" s="2684" t="s">
        <v>704</v>
      </c>
      <c r="H101" s="2685"/>
      <c r="I101" s="2684" t="s">
        <v>425</v>
      </c>
      <c r="J101" s="2685"/>
      <c r="K101" s="836" t="s">
        <v>451</v>
      </c>
      <c r="L101" s="837"/>
      <c r="M101" s="837"/>
      <c r="N101" s="836" t="s">
        <v>445</v>
      </c>
      <c r="O101" s="836" t="s">
        <v>450</v>
      </c>
      <c r="P101" s="837"/>
      <c r="Q101" s="838"/>
      <c r="R101" s="77"/>
      <c r="S101" s="77"/>
      <c r="T101" s="77" t="s">
        <v>397</v>
      </c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1:41" s="76" customFormat="1" ht="33.75" customHeight="1" x14ac:dyDescent="0.25">
      <c r="A102" s="132" t="s">
        <v>428</v>
      </c>
      <c r="C102" s="80"/>
      <c r="D102" s="80"/>
      <c r="E102" s="80"/>
      <c r="F102" s="81"/>
      <c r="G102" s="81"/>
      <c r="H102" s="81"/>
      <c r="I102" s="207"/>
      <c r="J102" s="207"/>
      <c r="K102" s="207"/>
      <c r="L102" s="81"/>
      <c r="M102" s="81"/>
      <c r="N102" s="133"/>
      <c r="O102" s="81"/>
      <c r="P102" s="81"/>
      <c r="Q102" s="81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1:41" s="76" customFormat="1" hidden="1" x14ac:dyDescent="0.25">
      <c r="C103" s="80"/>
      <c r="D103" s="80"/>
      <c r="E103" s="80"/>
      <c r="F103" s="81"/>
      <c r="G103" s="81"/>
      <c r="H103" s="81"/>
      <c r="I103" s="81"/>
      <c r="J103" s="81"/>
      <c r="K103" s="81"/>
      <c r="L103" s="81"/>
      <c r="M103" s="81"/>
      <c r="N103" s="133"/>
      <c r="O103" s="81"/>
      <c r="P103" s="81"/>
      <c r="Q103" s="81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1:41" s="76" customFormat="1" hidden="1" x14ac:dyDescent="0.25">
      <c r="C104" s="80"/>
      <c r="D104" s="80"/>
      <c r="E104" s="80"/>
      <c r="F104" s="81"/>
      <c r="G104" s="81"/>
      <c r="H104" s="81"/>
      <c r="I104" s="81"/>
      <c r="J104" s="81"/>
      <c r="K104" s="81"/>
      <c r="L104" s="81"/>
      <c r="M104" s="81"/>
      <c r="N104" s="133"/>
      <c r="O104" s="81"/>
      <c r="P104" s="81"/>
      <c r="Q104" s="81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1:41" s="76" customFormat="1" hidden="1" x14ac:dyDescent="0.25">
      <c r="C105" s="80"/>
      <c r="D105" s="80"/>
      <c r="E105" s="80"/>
      <c r="F105" s="81"/>
      <c r="G105" s="81"/>
      <c r="H105" s="81"/>
      <c r="I105" s="81"/>
      <c r="J105" s="81"/>
      <c r="K105" s="81"/>
      <c r="L105" s="81"/>
      <c r="M105" s="81"/>
      <c r="N105" s="133"/>
      <c r="O105" s="81"/>
      <c r="P105" s="81"/>
      <c r="Q105" s="81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1:41" s="76" customFormat="1" hidden="1" x14ac:dyDescent="0.25">
      <c r="C106" s="80"/>
      <c r="D106" s="80"/>
      <c r="E106" s="80"/>
      <c r="F106" s="81"/>
      <c r="G106" s="81"/>
      <c r="H106" s="81"/>
      <c r="I106" s="81"/>
      <c r="J106" s="81"/>
      <c r="K106" s="81"/>
      <c r="L106" s="81"/>
      <c r="M106" s="81"/>
      <c r="N106" s="133"/>
      <c r="O106" s="81"/>
      <c r="P106" s="81"/>
      <c r="Q106" s="81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1:41" s="76" customFormat="1" hidden="1" x14ac:dyDescent="0.25">
      <c r="C107" s="80"/>
      <c r="D107" s="80"/>
      <c r="E107" s="80"/>
      <c r="F107" s="81"/>
      <c r="G107" s="81"/>
      <c r="H107" s="81"/>
      <c r="I107" s="81"/>
      <c r="J107" s="81"/>
      <c r="K107" s="81"/>
      <c r="L107" s="81"/>
      <c r="M107" s="81"/>
      <c r="N107" s="133"/>
      <c r="O107" s="81"/>
      <c r="P107" s="81"/>
      <c r="Q107" s="81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1:41" s="76" customFormat="1" x14ac:dyDescent="0.25">
      <c r="C108" s="80"/>
      <c r="D108" s="80"/>
      <c r="E108" s="80"/>
      <c r="F108" s="81"/>
      <c r="G108" s="81"/>
      <c r="H108" s="81"/>
      <c r="I108" s="81"/>
      <c r="J108" s="81"/>
      <c r="K108" s="81"/>
      <c r="L108" s="81"/>
      <c r="M108" s="81"/>
      <c r="N108" s="133"/>
      <c r="O108" s="81"/>
      <c r="P108" s="81"/>
      <c r="Q108" s="81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1:41" s="76" customFormat="1" x14ac:dyDescent="0.25">
      <c r="C109" s="80"/>
      <c r="D109" s="80"/>
      <c r="E109" s="80"/>
      <c r="F109" s="81"/>
      <c r="G109" s="81"/>
      <c r="H109" s="81"/>
      <c r="I109" s="81"/>
      <c r="J109" s="81"/>
      <c r="K109" s="81"/>
      <c r="L109" s="81"/>
      <c r="M109" s="81"/>
      <c r="N109" s="133"/>
      <c r="O109" s="81"/>
      <c r="P109" s="81"/>
      <c r="Q109" s="81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1:41" s="76" customFormat="1" x14ac:dyDescent="0.25">
      <c r="C110" s="80"/>
      <c r="D110" s="80"/>
      <c r="E110" s="80"/>
      <c r="F110" s="81"/>
      <c r="G110" s="81"/>
      <c r="H110" s="81"/>
      <c r="I110" s="81"/>
      <c r="J110" s="81"/>
      <c r="K110" s="81"/>
      <c r="L110" s="81"/>
      <c r="M110" s="81"/>
      <c r="N110" s="133"/>
      <c r="O110" s="81"/>
      <c r="P110" s="81"/>
      <c r="Q110" s="81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1:41" s="76" customFormat="1" x14ac:dyDescent="0.25">
      <c r="C111" s="80"/>
      <c r="D111" s="80"/>
      <c r="E111" s="80"/>
      <c r="F111" s="81"/>
      <c r="G111" s="81"/>
      <c r="H111" s="81"/>
      <c r="I111" s="81"/>
      <c r="J111" s="81"/>
      <c r="K111" s="81"/>
      <c r="L111" s="81"/>
      <c r="M111" s="81"/>
      <c r="N111" s="133"/>
      <c r="O111" s="81"/>
      <c r="P111" s="81"/>
      <c r="Q111" s="81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1:41" s="76" customFormat="1" x14ac:dyDescent="0.25">
      <c r="C112" s="80"/>
      <c r="D112" s="80"/>
      <c r="E112" s="80"/>
      <c r="F112" s="81"/>
      <c r="G112" s="81"/>
      <c r="H112" s="81"/>
      <c r="I112" s="81"/>
      <c r="J112" s="81"/>
      <c r="K112" s="81"/>
      <c r="L112" s="81"/>
      <c r="M112" s="81"/>
      <c r="N112" s="133"/>
      <c r="O112" s="81"/>
      <c r="P112" s="81"/>
      <c r="Q112" s="81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3:63" s="76" customFormat="1" x14ac:dyDescent="0.25">
      <c r="C113" s="80"/>
      <c r="D113" s="80"/>
      <c r="E113" s="80"/>
      <c r="F113" s="81"/>
      <c r="G113" s="81"/>
      <c r="H113" s="81"/>
      <c r="I113" s="81"/>
      <c r="J113" s="81"/>
      <c r="K113" s="81"/>
      <c r="L113" s="81"/>
      <c r="M113" s="81"/>
      <c r="N113" s="133"/>
      <c r="O113" s="81"/>
      <c r="P113" s="81"/>
      <c r="Q113" s="81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3:63" s="76" customFormat="1" x14ac:dyDescent="0.25">
      <c r="C114" s="80"/>
      <c r="D114" s="80"/>
      <c r="E114" s="80"/>
      <c r="F114" s="81"/>
      <c r="G114" s="81"/>
      <c r="H114" s="81"/>
      <c r="I114" s="81"/>
      <c r="J114" s="81"/>
      <c r="K114" s="81"/>
      <c r="L114" s="81"/>
      <c r="M114" s="81"/>
      <c r="N114" s="133"/>
      <c r="O114" s="81"/>
      <c r="P114" s="81"/>
      <c r="Q114" s="81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3:63" s="76" customFormat="1" x14ac:dyDescent="0.25">
      <c r="C115" s="80"/>
      <c r="D115" s="80"/>
      <c r="E115" s="80"/>
      <c r="F115" s="81"/>
      <c r="G115" s="81"/>
      <c r="H115" s="81"/>
      <c r="I115" s="81"/>
      <c r="J115" s="81"/>
      <c r="K115" s="81"/>
      <c r="L115" s="81"/>
      <c r="M115" s="81"/>
      <c r="N115" s="133"/>
      <c r="O115" s="81"/>
      <c r="P115" s="81"/>
      <c r="Q115" s="81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3:63" s="76" customFormat="1" x14ac:dyDescent="0.25">
      <c r="C116" s="80"/>
      <c r="D116" s="80"/>
      <c r="E116" s="80"/>
      <c r="F116" s="81"/>
      <c r="G116" s="81"/>
      <c r="H116" s="81"/>
      <c r="I116" s="81"/>
      <c r="J116" s="81"/>
      <c r="K116" s="81"/>
      <c r="L116" s="81"/>
      <c r="M116" s="81"/>
      <c r="N116" s="133"/>
      <c r="O116" s="81"/>
      <c r="P116" s="81"/>
      <c r="Q116" s="81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3:63" s="76" customFormat="1" x14ac:dyDescent="0.25">
      <c r="C117" s="80"/>
      <c r="D117" s="80"/>
      <c r="E117" s="80"/>
      <c r="F117" s="81"/>
      <c r="G117" s="81"/>
      <c r="H117" s="81"/>
      <c r="I117" s="81"/>
      <c r="J117" s="81"/>
      <c r="K117" s="81"/>
      <c r="L117" s="81"/>
      <c r="M117" s="81"/>
      <c r="N117" s="133"/>
      <c r="O117" s="81"/>
      <c r="P117" s="81"/>
      <c r="Q117" s="81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3:63" s="76" customFormat="1" x14ac:dyDescent="0.25">
      <c r="C118" s="80"/>
      <c r="D118" s="80"/>
      <c r="E118" s="80"/>
      <c r="F118" s="81"/>
      <c r="G118" s="81"/>
      <c r="H118" s="81"/>
      <c r="I118" s="81"/>
      <c r="J118" s="81"/>
      <c r="K118" s="81"/>
      <c r="L118" s="81"/>
      <c r="M118" s="81"/>
      <c r="N118" s="133"/>
      <c r="O118" s="81"/>
      <c r="P118" s="81"/>
      <c r="Q118" s="81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3:63" s="76" customFormat="1" x14ac:dyDescent="0.25">
      <c r="C119" s="80"/>
      <c r="D119" s="80"/>
      <c r="E119" s="80"/>
      <c r="F119" s="81"/>
      <c r="G119" s="81"/>
      <c r="H119" s="81"/>
      <c r="I119" s="81"/>
      <c r="J119" s="81"/>
      <c r="K119" s="81"/>
      <c r="L119" s="81"/>
      <c r="M119" s="81"/>
      <c r="N119" s="133"/>
      <c r="O119" s="81"/>
      <c r="P119" s="81"/>
      <c r="Q119" s="81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3:63" s="76" customFormat="1" x14ac:dyDescent="0.25">
      <c r="C120" s="80"/>
      <c r="D120" s="80"/>
      <c r="E120" s="80"/>
      <c r="F120" s="81"/>
      <c r="G120" s="81"/>
      <c r="H120" s="81"/>
      <c r="I120" s="81"/>
      <c r="J120" s="81"/>
      <c r="K120" s="81"/>
      <c r="L120" s="81"/>
      <c r="M120" s="81"/>
      <c r="N120" s="133"/>
      <c r="O120" s="81"/>
      <c r="P120" s="81"/>
      <c r="Q120" s="81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3:63" s="76" customFormat="1" x14ac:dyDescent="0.25">
      <c r="C121" s="80"/>
      <c r="D121" s="80"/>
      <c r="E121" s="80"/>
      <c r="F121" s="81"/>
      <c r="G121" s="81"/>
      <c r="H121" s="81"/>
      <c r="I121" s="81"/>
      <c r="J121" s="81"/>
      <c r="K121" s="81"/>
      <c r="L121" s="81"/>
      <c r="M121" s="81"/>
      <c r="N121" s="133"/>
      <c r="O121" s="81"/>
      <c r="P121" s="81"/>
      <c r="Q121" s="81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3:63" s="76" customFormat="1" x14ac:dyDescent="0.25">
      <c r="C122" s="80"/>
      <c r="D122" s="80"/>
      <c r="E122" s="80"/>
      <c r="F122" s="81"/>
      <c r="G122" s="81"/>
      <c r="H122" s="81"/>
      <c r="I122" s="81"/>
      <c r="J122" s="81"/>
      <c r="K122" s="81"/>
      <c r="L122" s="81"/>
      <c r="M122" s="81"/>
      <c r="N122" s="133"/>
      <c r="O122" s="81"/>
      <c r="P122" s="81"/>
      <c r="Q122" s="81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3:63" s="76" customFormat="1" x14ac:dyDescent="0.25">
      <c r="C123" s="80"/>
      <c r="D123" s="80"/>
      <c r="E123" s="80"/>
      <c r="F123" s="81"/>
      <c r="G123" s="81"/>
      <c r="H123" s="81"/>
      <c r="I123" s="81"/>
      <c r="J123" s="81"/>
      <c r="K123" s="81"/>
      <c r="L123" s="81"/>
      <c r="M123" s="81"/>
      <c r="N123" s="133"/>
      <c r="O123" s="81"/>
      <c r="P123" s="81"/>
      <c r="Q123" s="81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3:63" s="76" customFormat="1" x14ac:dyDescent="0.25">
      <c r="C124" s="80"/>
      <c r="D124" s="80"/>
      <c r="E124" s="80"/>
      <c r="F124" s="81"/>
      <c r="G124" s="81"/>
      <c r="H124" s="81"/>
      <c r="I124" s="81"/>
      <c r="J124" s="81"/>
      <c r="K124" s="81"/>
      <c r="L124" s="81"/>
      <c r="M124" s="81"/>
      <c r="N124" s="133"/>
      <c r="O124" s="81"/>
      <c r="P124" s="81"/>
      <c r="Q124" s="81"/>
      <c r="R124" s="77"/>
      <c r="S124" s="77"/>
      <c r="T124" s="77"/>
      <c r="U124" s="77"/>
      <c r="V124" s="77"/>
      <c r="W124" s="77"/>
      <c r="X124" s="77"/>
      <c r="Y124" s="77"/>
      <c r="Z124" s="77"/>
      <c r="AA124" s="47"/>
      <c r="AB124" s="47"/>
      <c r="AC124" s="47"/>
      <c r="BH124" s="2"/>
      <c r="BI124" s="2"/>
      <c r="BJ124" s="2"/>
      <c r="BK124" s="2"/>
    </row>
  </sheetData>
  <sheetProtection password="F86B" sheet="1" formatCells="0" formatColumns="0" formatRows="0"/>
  <mergeCells count="360">
    <mergeCell ref="B81:H81"/>
    <mergeCell ref="B82:H82"/>
    <mergeCell ref="I81:J81"/>
    <mergeCell ref="I82:J82"/>
    <mergeCell ref="A74:J74"/>
    <mergeCell ref="B78:H78"/>
    <mergeCell ref="B79:H79"/>
    <mergeCell ref="I72:J72"/>
    <mergeCell ref="E63:E65"/>
    <mergeCell ref="B66:D66"/>
    <mergeCell ref="B67:D67"/>
    <mergeCell ref="G67:H67"/>
    <mergeCell ref="I67:J67"/>
    <mergeCell ref="B68:D68"/>
    <mergeCell ref="B70:D70"/>
    <mergeCell ref="I66:J66"/>
    <mergeCell ref="G66:H66"/>
    <mergeCell ref="I101:J101"/>
    <mergeCell ref="G98:H98"/>
    <mergeCell ref="G99:H99"/>
    <mergeCell ref="I99:J99"/>
    <mergeCell ref="G100:H100"/>
    <mergeCell ref="G101:H101"/>
    <mergeCell ref="I100:J100"/>
    <mergeCell ref="G95:H95"/>
    <mergeCell ref="G92:K92"/>
    <mergeCell ref="G97:H97"/>
    <mergeCell ref="I97:J97"/>
    <mergeCell ref="I96:J96"/>
    <mergeCell ref="I93:J93"/>
    <mergeCell ref="P91:Q91"/>
    <mergeCell ref="I68:J68"/>
    <mergeCell ref="G68:H68"/>
    <mergeCell ref="L70:Z71"/>
    <mergeCell ref="L68:Z68"/>
    <mergeCell ref="B97:D98"/>
    <mergeCell ref="I98:J98"/>
    <mergeCell ref="G94:H94"/>
    <mergeCell ref="I94:J94"/>
    <mergeCell ref="I95:J95"/>
    <mergeCell ref="B95:D96"/>
    <mergeCell ref="B69:D69"/>
    <mergeCell ref="H86:I86"/>
    <mergeCell ref="B80:H80"/>
    <mergeCell ref="B71:D71"/>
    <mergeCell ref="B72:D72"/>
    <mergeCell ref="B76:H76"/>
    <mergeCell ref="B75:H75"/>
    <mergeCell ref="I76:J76"/>
    <mergeCell ref="I69:J69"/>
    <mergeCell ref="I11:J11"/>
    <mergeCell ref="G12:H12"/>
    <mergeCell ref="G27:H27"/>
    <mergeCell ref="G13:H13"/>
    <mergeCell ref="I13:J13"/>
    <mergeCell ref="G14:H14"/>
    <mergeCell ref="G15:H15"/>
    <mergeCell ref="I19:J19"/>
    <mergeCell ref="I22:J22"/>
    <mergeCell ref="G23:H23"/>
    <mergeCell ref="I31:J31"/>
    <mergeCell ref="G31:H31"/>
    <mergeCell ref="B88:F88"/>
    <mergeCell ref="G72:H72"/>
    <mergeCell ref="I33:J33"/>
    <mergeCell ref="B77:H77"/>
    <mergeCell ref="I77:J77"/>
    <mergeCell ref="G33:H33"/>
    <mergeCell ref="B49:D49"/>
    <mergeCell ref="B48:D48"/>
    <mergeCell ref="R23:S23"/>
    <mergeCell ref="L30:L31"/>
    <mergeCell ref="I14:J14"/>
    <mergeCell ref="I32:J32"/>
    <mergeCell ref="I15:J15"/>
    <mergeCell ref="G17:H17"/>
    <mergeCell ref="I17:J17"/>
    <mergeCell ref="G32:H32"/>
    <mergeCell ref="G20:H20"/>
    <mergeCell ref="I27:J27"/>
    <mergeCell ref="AD28:AE28"/>
    <mergeCell ref="T31:U31"/>
    <mergeCell ref="T32:U32"/>
    <mergeCell ref="T33:U33"/>
    <mergeCell ref="Y32:Z32"/>
    <mergeCell ref="AD30:AF30"/>
    <mergeCell ref="V33:X33"/>
    <mergeCell ref="T67:U67"/>
    <mergeCell ref="AG33:AH33"/>
    <mergeCell ref="Y31:Z31"/>
    <mergeCell ref="AD29:AE29"/>
    <mergeCell ref="AD34:AE35"/>
    <mergeCell ref="T72:U72"/>
    <mergeCell ref="V72:W72"/>
    <mergeCell ref="X69:Y69"/>
    <mergeCell ref="X72:Y72"/>
    <mergeCell ref="V69:W69"/>
    <mergeCell ref="A39:A40"/>
    <mergeCell ref="Q60:S62"/>
    <mergeCell ref="T63:U65"/>
    <mergeCell ref="S63:S65"/>
    <mergeCell ref="T66:U66"/>
    <mergeCell ref="Q63:Q65"/>
    <mergeCell ref="R63:R65"/>
    <mergeCell ref="T60:Z62"/>
    <mergeCell ref="A63:A65"/>
    <mergeCell ref="N63:N65"/>
    <mergeCell ref="B24:D24"/>
    <mergeCell ref="B27:D29"/>
    <mergeCell ref="T69:U69"/>
    <mergeCell ref="H39:I39"/>
    <mergeCell ref="B54:D54"/>
    <mergeCell ref="B47:D47"/>
    <mergeCell ref="B51:D51"/>
    <mergeCell ref="A37:K37"/>
    <mergeCell ref="F51:I51"/>
    <mergeCell ref="I63:J65"/>
    <mergeCell ref="B39:D40"/>
    <mergeCell ref="E39:E40"/>
    <mergeCell ref="B43:D43"/>
    <mergeCell ref="B41:D41"/>
    <mergeCell ref="D57:J57"/>
    <mergeCell ref="B57:C57"/>
    <mergeCell ref="F42:I42"/>
    <mergeCell ref="B53:D53"/>
    <mergeCell ref="F48:I48"/>
    <mergeCell ref="B58:C58"/>
    <mergeCell ref="B44:D44"/>
    <mergeCell ref="B32:E32"/>
    <mergeCell ref="A33:E33"/>
    <mergeCell ref="F39:G39"/>
    <mergeCell ref="G63:H65"/>
    <mergeCell ref="B42:D42"/>
    <mergeCell ref="B50:D50"/>
    <mergeCell ref="B52:D52"/>
    <mergeCell ref="F45:I45"/>
    <mergeCell ref="AJ10:AJ16"/>
    <mergeCell ref="AI10:AI16"/>
    <mergeCell ref="AM16:AP18"/>
    <mergeCell ref="AA13:AC13"/>
    <mergeCell ref="AB16:AC16"/>
    <mergeCell ref="AB17:AC17"/>
    <mergeCell ref="Y11:Z11"/>
    <mergeCell ref="R11:S11"/>
    <mergeCell ref="R12:S12"/>
    <mergeCell ref="R13:S13"/>
    <mergeCell ref="T15:U15"/>
    <mergeCell ref="Y12:Z12"/>
    <mergeCell ref="V11:X11"/>
    <mergeCell ref="V12:X12"/>
    <mergeCell ref="V13:X13"/>
    <mergeCell ref="V14:X14"/>
    <mergeCell ref="V15:X15"/>
    <mergeCell ref="R14:S14"/>
    <mergeCell ref="T13:U13"/>
    <mergeCell ref="T12:U12"/>
    <mergeCell ref="A7:A8"/>
    <mergeCell ref="A5:M5"/>
    <mergeCell ref="R9:S9"/>
    <mergeCell ref="T9:U9"/>
    <mergeCell ref="E7:E8"/>
    <mergeCell ref="B7:D8"/>
    <mergeCell ref="G8:H8"/>
    <mergeCell ref="I8:J8"/>
    <mergeCell ref="R8:S8"/>
    <mergeCell ref="G9:H9"/>
    <mergeCell ref="T8:U8"/>
    <mergeCell ref="B15:D15"/>
    <mergeCell ref="R10:S10"/>
    <mergeCell ref="T14:U14"/>
    <mergeCell ref="G11:H11"/>
    <mergeCell ref="I12:J12"/>
    <mergeCell ref="R1:T1"/>
    <mergeCell ref="R2:T2"/>
    <mergeCell ref="B3:T3"/>
    <mergeCell ref="F7:L7"/>
    <mergeCell ref="M7:Q7"/>
    <mergeCell ref="B10:D10"/>
    <mergeCell ref="T10:U10"/>
    <mergeCell ref="I10:J10"/>
    <mergeCell ref="I9:J9"/>
    <mergeCell ref="G10:H10"/>
    <mergeCell ref="B1:D1"/>
    <mergeCell ref="R7:AC7"/>
    <mergeCell ref="AA8:AC8"/>
    <mergeCell ref="AA9:AC9"/>
    <mergeCell ref="AA10:AC10"/>
    <mergeCell ref="Y8:Z8"/>
    <mergeCell ref="Y10:Z10"/>
    <mergeCell ref="Y9:Z9"/>
    <mergeCell ref="V8:X8"/>
    <mergeCell ref="V9:X9"/>
    <mergeCell ref="V10:X10"/>
    <mergeCell ref="B9:D9"/>
    <mergeCell ref="K75:L75"/>
    <mergeCell ref="B14:D14"/>
    <mergeCell ref="B25:D25"/>
    <mergeCell ref="B19:D19"/>
    <mergeCell ref="B21:D21"/>
    <mergeCell ref="G19:H19"/>
    <mergeCell ref="I23:J23"/>
    <mergeCell ref="D58:J58"/>
    <mergeCell ref="L63:L65"/>
    <mergeCell ref="O63:O65"/>
    <mergeCell ref="P63:P65"/>
    <mergeCell ref="F63:F65"/>
    <mergeCell ref="A60:K62"/>
    <mergeCell ref="B63:D65"/>
    <mergeCell ref="I21:J21"/>
    <mergeCell ref="G24:H24"/>
    <mergeCell ref="J39:K39"/>
    <mergeCell ref="L60:P62"/>
    <mergeCell ref="M57:P57"/>
    <mergeCell ref="I24:J24"/>
    <mergeCell ref="I25:J25"/>
    <mergeCell ref="G25:H25"/>
    <mergeCell ref="G21:H21"/>
    <mergeCell ref="F28:H29"/>
    <mergeCell ref="A91:D91"/>
    <mergeCell ref="G69:H69"/>
    <mergeCell ref="I80:J80"/>
    <mergeCell ref="I79:J79"/>
    <mergeCell ref="I78:J78"/>
    <mergeCell ref="I70:J70"/>
    <mergeCell ref="G71:H71"/>
    <mergeCell ref="I71:J71"/>
    <mergeCell ref="G70:H70"/>
    <mergeCell ref="B86:F86"/>
    <mergeCell ref="A90:G90"/>
    <mergeCell ref="B87:F87"/>
    <mergeCell ref="B89:F89"/>
    <mergeCell ref="B23:D23"/>
    <mergeCell ref="B22:D22"/>
    <mergeCell ref="A27:A29"/>
    <mergeCell ref="A30:E30"/>
    <mergeCell ref="F30:J30"/>
    <mergeCell ref="B45:D45"/>
    <mergeCell ref="B46:D46"/>
    <mergeCell ref="A100:A101"/>
    <mergeCell ref="B100:D101"/>
    <mergeCell ref="A95:A96"/>
    <mergeCell ref="A97:A98"/>
    <mergeCell ref="A92:A93"/>
    <mergeCell ref="G93:H93"/>
    <mergeCell ref="B94:D94"/>
    <mergeCell ref="F92:F93"/>
    <mergeCell ref="B99:D99"/>
    <mergeCell ref="G96:H96"/>
    <mergeCell ref="E92:E93"/>
    <mergeCell ref="B92:D93"/>
    <mergeCell ref="AQ7:AR7"/>
    <mergeCell ref="AQ10:AQ18"/>
    <mergeCell ref="AR10:AR18"/>
    <mergeCell ref="AI18:AI20"/>
    <mergeCell ref="AJ18:AJ20"/>
    <mergeCell ref="AK18:AK20"/>
    <mergeCell ref="AL18:AL20"/>
    <mergeCell ref="AM19:AM20"/>
    <mergeCell ref="AG30:AH32"/>
    <mergeCell ref="T11:U11"/>
    <mergeCell ref="M30:Q30"/>
    <mergeCell ref="Q92:Q93"/>
    <mergeCell ref="R22:S22"/>
    <mergeCell ref="R24:S24"/>
    <mergeCell ref="R31:S31"/>
    <mergeCell ref="R27:S27"/>
    <mergeCell ref="M63:M65"/>
    <mergeCell ref="Y13:Z13"/>
    <mergeCell ref="Y14:Z14"/>
    <mergeCell ref="L92:M92"/>
    <mergeCell ref="V20:X20"/>
    <mergeCell ref="K77:L77"/>
    <mergeCell ref="M77:N77"/>
    <mergeCell ref="Y23:Z23"/>
    <mergeCell ref="N92:N93"/>
    <mergeCell ref="K63:K65"/>
    <mergeCell ref="Y15:Z15"/>
    <mergeCell ref="R18:AH18"/>
    <mergeCell ref="AM8:AP8"/>
    <mergeCell ref="AI8:AL8"/>
    <mergeCell ref="AA11:AC11"/>
    <mergeCell ref="AA12:AC12"/>
    <mergeCell ref="AA14:AC14"/>
    <mergeCell ref="AA15:AC15"/>
    <mergeCell ref="AL10:AL16"/>
    <mergeCell ref="AO11:AO15"/>
    <mergeCell ref="AP11:AP15"/>
    <mergeCell ref="AK10:AK16"/>
    <mergeCell ref="R20:S20"/>
    <mergeCell ref="T20:U20"/>
    <mergeCell ref="Y20:Z20"/>
    <mergeCell ref="AD7:AH7"/>
    <mergeCell ref="B17:D17"/>
    <mergeCell ref="I20:J20"/>
    <mergeCell ref="W16:X16"/>
    <mergeCell ref="R19:S19"/>
    <mergeCell ref="R15:S15"/>
    <mergeCell ref="B13:D13"/>
    <mergeCell ref="B20:D20"/>
    <mergeCell ref="B12:D12"/>
    <mergeCell ref="B11:D11"/>
    <mergeCell ref="K76:L76"/>
    <mergeCell ref="M75:N75"/>
    <mergeCell ref="I75:J75"/>
    <mergeCell ref="M76:N76"/>
    <mergeCell ref="B31:E31"/>
    <mergeCell ref="E27:E29"/>
    <mergeCell ref="G22:H22"/>
    <mergeCell ref="AQ20:AQ25"/>
    <mergeCell ref="T25:U25"/>
    <mergeCell ref="AA24:AC24"/>
    <mergeCell ref="AR20:AR25"/>
    <mergeCell ref="K30:K31"/>
    <mergeCell ref="AN19:AN20"/>
    <mergeCell ref="AO20:AO25"/>
    <mergeCell ref="AP20:AP25"/>
    <mergeCell ref="Y19:Z19"/>
    <mergeCell ref="Y21:Z21"/>
    <mergeCell ref="AA19:AC19"/>
    <mergeCell ref="W32:X32"/>
    <mergeCell ref="R21:S21"/>
    <mergeCell ref="T24:U24"/>
    <mergeCell ref="Y24:Z24"/>
    <mergeCell ref="V21:X21"/>
    <mergeCell ref="V25:X25"/>
    <mergeCell ref="Y22:Z22"/>
    <mergeCell ref="R25:S25"/>
    <mergeCell ref="AA20:AC20"/>
    <mergeCell ref="Y25:Z25"/>
    <mergeCell ref="T19:U19"/>
    <mergeCell ref="T21:U21"/>
    <mergeCell ref="T22:U22"/>
    <mergeCell ref="T23:U23"/>
    <mergeCell ref="V19:X19"/>
    <mergeCell ref="X63:Y65"/>
    <mergeCell ref="X66:Y66"/>
    <mergeCell ref="X67:Y67"/>
    <mergeCell ref="Y33:AC33"/>
    <mergeCell ref="V66:W66"/>
    <mergeCell ref="Z63:Z65"/>
    <mergeCell ref="V63:W65"/>
    <mergeCell ref="V67:W67"/>
    <mergeCell ref="Y27:Z27"/>
    <mergeCell ref="T27:U29"/>
    <mergeCell ref="V27:X27"/>
    <mergeCell ref="R26:AC26"/>
    <mergeCell ref="R30:AC30"/>
    <mergeCell ref="R32:S32"/>
    <mergeCell ref="AA31:AB31"/>
    <mergeCell ref="AA32:AB32"/>
    <mergeCell ref="R33:S33"/>
    <mergeCell ref="AA27:AC27"/>
    <mergeCell ref="W31:X31"/>
    <mergeCell ref="AA25:AC25"/>
    <mergeCell ref="AA21:AC21"/>
    <mergeCell ref="V22:X22"/>
    <mergeCell ref="AA22:AC22"/>
    <mergeCell ref="V23:X23"/>
    <mergeCell ref="AA23:AC23"/>
    <mergeCell ref="V24:X24"/>
  </mergeCells>
  <conditionalFormatting sqref="Q100 I102:K102 P96:Q96 AE10:AF10 AE19:AF20 AG10:AH12 AG14:AH17 M95:O95 Q95 Q97 AE23:AH23 AE13:AH13 AG24:AH27 T10:T12 V10:V12 Y10 AA10 F26:R26 Y14:Y15 T14:T15 T27 Y27 F16:W16 F27:G27 F18:R18 F17:G17 F28 R29 V28:X28 K13:Q13 F10:G10 I10 K14:R15 M17 F19:G19 K24:R24 I19:I20 K23:M23 K95 K96:N96 K98:M99 I95:I100 K100 K25:Q25 K67:K69 K71:K72 Q72:R72 R17:S17 M21:M22 T24 F95:G96 F98:G100 G97 K97 I23:I25 F23:G23 F21:F22 F24:F25 N27 R21:R22 P27 R27 K10:R10 T19:T20 Y16:AA16 AG19:AH22 N97:O97 P98:Q99 V29:Z29 M11:R12 I13:I15 F13:G15 F11:F12 K19:R20">
    <cfRule type="cellIs" dxfId="211" priority="851" operator="lessThan">
      <formula>0</formula>
    </cfRule>
  </conditionalFormatting>
  <conditionalFormatting sqref="G101 I101 K101">
    <cfRule type="cellIs" dxfId="210" priority="844" operator="lessThan">
      <formula>0</formula>
    </cfRule>
  </conditionalFormatting>
  <conditionalFormatting sqref="N101:O101">
    <cfRule type="cellIs" dxfId="209" priority="843" operator="lessThan">
      <formula>0</formula>
    </cfRule>
  </conditionalFormatting>
  <conditionalFormatting sqref="N98:O98">
    <cfRule type="cellIs" dxfId="208" priority="842" operator="lessThan">
      <formula>0</formula>
    </cfRule>
  </conditionalFormatting>
  <conditionalFormatting sqref="O96">
    <cfRule type="cellIs" dxfId="207" priority="841" operator="lessThan">
      <formula>0</formula>
    </cfRule>
  </conditionalFormatting>
  <conditionalFormatting sqref="AE94:AF94">
    <cfRule type="cellIs" dxfId="206" priority="824" operator="lessThan">
      <formula>0</formula>
    </cfRule>
  </conditionalFormatting>
  <conditionalFormatting sqref="AD90:AF93 AD86:AD89 AD95:AF98 AD94 AI86:AO98">
    <cfRule type="cellIs" dxfId="205" priority="826" operator="lessThan">
      <formula>0</formula>
    </cfRule>
  </conditionalFormatting>
  <conditionalFormatting sqref="AD10:AD17 AD24:AF27 AD19:AD23 AD28:AD29">
    <cfRule type="cellIs" dxfId="204" priority="835" operator="lessThan">
      <formula>0</formula>
    </cfRule>
  </conditionalFormatting>
  <conditionalFormatting sqref="AG86:AH98">
    <cfRule type="cellIs" dxfId="203" priority="827" operator="lessThan">
      <formula>0</formula>
    </cfRule>
  </conditionalFormatting>
  <conditionalFormatting sqref="AE86:AF89">
    <cfRule type="cellIs" dxfId="202" priority="825" operator="lessThan">
      <formula>0</formula>
    </cfRule>
  </conditionalFormatting>
  <conditionalFormatting sqref="AE11:AF12 AE14:AF17">
    <cfRule type="cellIs" dxfId="201" priority="823" operator="lessThan">
      <formula>0</formula>
    </cfRule>
  </conditionalFormatting>
  <conditionalFormatting sqref="AE21:AF21 AE22">
    <cfRule type="cellIs" dxfId="200" priority="821" operator="lessThan">
      <formula>0</formula>
    </cfRule>
  </conditionalFormatting>
  <conditionalFormatting sqref="AM15:AN15 M32:R32 N33 P33 AE33 B31:B32 A30:A33 V32 AF34:AG34 AD34 F50:F51 G49:G50 F52:G53 J51 D57 F56:G56">
    <cfRule type="cellIs" dxfId="199" priority="796" operator="lessThan">
      <formula>0</formula>
    </cfRule>
  </conditionalFormatting>
  <conditionalFormatting sqref="AK25:AL25">
    <cfRule type="cellIs" dxfId="198" priority="795" operator="lessThan">
      <formula>0</formula>
    </cfRule>
  </conditionalFormatting>
  <conditionalFormatting sqref="AI25:AJ25">
    <cfRule type="cellIs" dxfId="197" priority="793" operator="lessThan">
      <formula>0</formula>
    </cfRule>
  </conditionalFormatting>
  <conditionalFormatting sqref="AM25:AN25">
    <cfRule type="cellIs" dxfId="196" priority="789" operator="lessThan">
      <formula>0</formula>
    </cfRule>
  </conditionalFormatting>
  <conditionalFormatting sqref="AI10:AN10 AM19:AN19 AI18:AL18 AI21:AN26 AM11:AN15 L32:R32 N33 P33 AA32 V32 AD32:AF32 AI29 AF34:AG34 AE33 AD34 F50:F51 G49:G50 F52:G53 J51 D57 F56:G56">
    <cfRule type="cellIs" dxfId="195" priority="787" stopIfTrue="1" operator="lessThan">
      <formula>0</formula>
    </cfRule>
  </conditionalFormatting>
  <conditionalFormatting sqref="R35:R38 AF35:AF38">
    <cfRule type="cellIs" dxfId="194" priority="763" stopIfTrue="1" operator="lessThan">
      <formula>0</formula>
    </cfRule>
  </conditionalFormatting>
  <conditionalFormatting sqref="M30:M31 AD30:AD31 F30:F32 F34:H36 M35:R36 AA32 M34:AC34 R30:R31 AD32:AF32 AF35:AF38 AE33 N38:R38 Q37:R37">
    <cfRule type="cellIs" dxfId="193" priority="751" operator="lessThan">
      <formula>0</formula>
    </cfRule>
  </conditionalFormatting>
  <conditionalFormatting sqref="I32">
    <cfRule type="cellIs" dxfId="192" priority="744" operator="lessThan">
      <formula>0</formula>
    </cfRule>
  </conditionalFormatting>
  <conditionalFormatting sqref="L32">
    <cfRule type="cellIs" dxfId="191" priority="739" operator="lessThan">
      <formula>0</formula>
    </cfRule>
  </conditionalFormatting>
  <conditionalFormatting sqref="F33">
    <cfRule type="cellIs" dxfId="190" priority="710" operator="lessThan">
      <formula>0</formula>
    </cfRule>
  </conditionalFormatting>
  <conditionalFormatting sqref="B35:Q36 B34:AC34 I32 A32:B32 F32:F33 A33 N38:Q38 Q37">
    <cfRule type="cellIs" dxfId="189" priority="709" stopIfTrue="1" operator="lessThan">
      <formula>0</formula>
    </cfRule>
  </conditionalFormatting>
  <conditionalFormatting sqref="P32">
    <cfRule type="cellIs" dxfId="188" priority="706" operator="lessThan">
      <formula>0</formula>
    </cfRule>
  </conditionalFormatting>
  <conditionalFormatting sqref="A35:A36">
    <cfRule type="cellIs" dxfId="187" priority="527" operator="lessThan">
      <formula>0</formula>
    </cfRule>
  </conditionalFormatting>
  <conditionalFormatting sqref="A35:A36">
    <cfRule type="cellIs" dxfId="186" priority="526" stopIfTrue="1" operator="lessThan">
      <formula>0</formula>
    </cfRule>
  </conditionalFormatting>
  <conditionalFormatting sqref="P31">
    <cfRule type="cellIs" dxfId="185" priority="429" operator="lessThan">
      <formula>0</formula>
    </cfRule>
  </conditionalFormatting>
  <conditionalFormatting sqref="P31">
    <cfRule type="cellIs" dxfId="184" priority="428" stopIfTrue="1" operator="lessThan">
      <formula>0</formula>
    </cfRule>
  </conditionalFormatting>
  <conditionalFormatting sqref="G32:G33">
    <cfRule type="cellIs" dxfId="183" priority="427" operator="lessThan">
      <formula>0</formula>
    </cfRule>
  </conditionalFormatting>
  <conditionalFormatting sqref="G33">
    <cfRule type="cellIs" dxfId="182" priority="426" operator="lessThan">
      <formula>0</formula>
    </cfRule>
  </conditionalFormatting>
  <conditionalFormatting sqref="G32:G33">
    <cfRule type="cellIs" dxfId="181" priority="425" stopIfTrue="1" operator="lessThan">
      <formula>0</formula>
    </cfRule>
  </conditionalFormatting>
  <conditionalFormatting sqref="AD33">
    <cfRule type="cellIs" dxfId="180" priority="328" operator="lessThan">
      <formula>0</formula>
    </cfRule>
  </conditionalFormatting>
  <conditionalFormatting sqref="AD33">
    <cfRule type="cellIs" dxfId="179" priority="327" stopIfTrue="1" operator="lessThan">
      <formula>0</formula>
    </cfRule>
  </conditionalFormatting>
  <conditionalFormatting sqref="Y33">
    <cfRule type="cellIs" dxfId="178" priority="298" operator="lessThan">
      <formula>0</formula>
    </cfRule>
  </conditionalFormatting>
  <conditionalFormatting sqref="Y33">
    <cfRule type="cellIs" dxfId="177" priority="297" stopIfTrue="1" operator="lessThan">
      <formula>0</formula>
    </cfRule>
  </conditionalFormatting>
  <conditionalFormatting sqref="I33">
    <cfRule type="cellIs" dxfId="176" priority="241" operator="lessThan">
      <formula>0</formula>
    </cfRule>
  </conditionalFormatting>
  <conditionalFormatting sqref="I33">
    <cfRule type="cellIs" dxfId="175" priority="240" stopIfTrue="1" operator="lessThan">
      <formula>0</formula>
    </cfRule>
  </conditionalFormatting>
  <conditionalFormatting sqref="K33">
    <cfRule type="cellIs" dxfId="174" priority="239" operator="lessThan">
      <formula>0</formula>
    </cfRule>
  </conditionalFormatting>
  <conditionalFormatting sqref="K33">
    <cfRule type="cellIs" dxfId="173" priority="238" stopIfTrue="1" operator="lessThan">
      <formula>0</formula>
    </cfRule>
  </conditionalFormatting>
  <conditionalFormatting sqref="L33">
    <cfRule type="cellIs" dxfId="172" priority="237" operator="lessThan">
      <formula>0</formula>
    </cfRule>
  </conditionalFormatting>
  <conditionalFormatting sqref="L33">
    <cfRule type="cellIs" dxfId="171" priority="236" stopIfTrue="1" operator="lessThan">
      <formula>0</formula>
    </cfRule>
  </conditionalFormatting>
  <conditionalFormatting sqref="M33">
    <cfRule type="cellIs" dxfId="170" priority="235" operator="lessThan">
      <formula>0</formula>
    </cfRule>
  </conditionalFormatting>
  <conditionalFormatting sqref="M33">
    <cfRule type="cellIs" dxfId="169" priority="234" stopIfTrue="1" operator="lessThan">
      <formula>0</formula>
    </cfRule>
  </conditionalFormatting>
  <conditionalFormatting sqref="O33">
    <cfRule type="cellIs" dxfId="168" priority="233" operator="lessThan">
      <formula>0</formula>
    </cfRule>
  </conditionalFormatting>
  <conditionalFormatting sqref="O33">
    <cfRule type="cellIs" dxfId="167" priority="232" stopIfTrue="1" operator="lessThan">
      <formula>0</formula>
    </cfRule>
  </conditionalFormatting>
  <conditionalFormatting sqref="V33">
    <cfRule type="cellIs" dxfId="166" priority="224" stopIfTrue="1" operator="lessThan">
      <formula>0</formula>
    </cfRule>
  </conditionalFormatting>
  <conditionalFormatting sqref="Q33">
    <cfRule type="cellIs" dxfId="165" priority="231" operator="lessThan">
      <formula>0</formula>
    </cfRule>
  </conditionalFormatting>
  <conditionalFormatting sqref="Q33">
    <cfRule type="cellIs" dxfId="164" priority="230" stopIfTrue="1" operator="lessThan">
      <formula>0</formula>
    </cfRule>
  </conditionalFormatting>
  <conditionalFormatting sqref="R33">
    <cfRule type="cellIs" dxfId="163" priority="229" operator="lessThan">
      <formula>0</formula>
    </cfRule>
  </conditionalFormatting>
  <conditionalFormatting sqref="R33">
    <cfRule type="cellIs" dxfId="162" priority="228" stopIfTrue="1" operator="lessThan">
      <formula>0</formula>
    </cfRule>
  </conditionalFormatting>
  <conditionalFormatting sqref="V33">
    <cfRule type="cellIs" dxfId="161" priority="225" operator="lessThan">
      <formula>0</formula>
    </cfRule>
  </conditionalFormatting>
  <conditionalFormatting sqref="T32:T33">
    <cfRule type="cellIs" dxfId="160" priority="223" operator="lessThan">
      <formula>0</formula>
    </cfRule>
  </conditionalFormatting>
  <conditionalFormatting sqref="T32:T33">
    <cfRule type="cellIs" dxfId="159" priority="222" stopIfTrue="1" operator="lessThan">
      <formula>0</formula>
    </cfRule>
  </conditionalFormatting>
  <conditionalFormatting sqref="AF33">
    <cfRule type="cellIs" dxfId="158" priority="208" stopIfTrue="1" operator="lessThan">
      <formula>0</formula>
    </cfRule>
  </conditionalFormatting>
  <conditionalFormatting sqref="AF33">
    <cfRule type="cellIs" dxfId="157" priority="209" operator="lessThan">
      <formula>0</formula>
    </cfRule>
  </conditionalFormatting>
  <conditionalFormatting sqref="T67 V67 X67 X69 V69 T69 T72 V72 X72">
    <cfRule type="cellIs" dxfId="156" priority="201" operator="lessThan">
      <formula>0</formula>
    </cfRule>
  </conditionalFormatting>
  <conditionalFormatting sqref="L67:O67 L69:O69 L68 L72:O72 L70">
    <cfRule type="cellIs" dxfId="155" priority="203" operator="lessThan">
      <formula>0</formula>
    </cfRule>
  </conditionalFormatting>
  <conditionalFormatting sqref="Q67:R67 Q69:R69">
    <cfRule type="cellIs" dxfId="154" priority="202" operator="lessThan">
      <formula>0</formula>
    </cfRule>
  </conditionalFormatting>
  <conditionalFormatting sqref="P67">
    <cfRule type="containsText" dxfId="153" priority="198" stopIfTrue="1" operator="containsText" text="ПОМИЛКА">
      <formula>NOT(ISERROR(SEARCH("ПОМИЛКА",P67)))</formula>
    </cfRule>
    <cfRule type="containsText" dxfId="152" priority="199" stopIfTrue="1" operator="containsText" text="Увага">
      <formula>NOT(ISERROR(SEARCH("Увага",P67)))</formula>
    </cfRule>
    <cfRule type="containsText" dxfId="151" priority="200" stopIfTrue="1" operator="containsText" text="ПРАВДА">
      <formula>NOT(ISERROR(SEARCH("ПРАВДА",P67)))</formula>
    </cfRule>
  </conditionalFormatting>
  <conditionalFormatting sqref="P72">
    <cfRule type="containsText" dxfId="150" priority="195" stopIfTrue="1" operator="containsText" text="ПОМИЛКА">
      <formula>NOT(ISERROR(SEARCH("ПОМИЛКА",P72)))</formula>
    </cfRule>
    <cfRule type="containsText" dxfId="149" priority="196" stopIfTrue="1" operator="containsText" text="Увага">
      <formula>NOT(ISERROR(SEARCH("Увага",P72)))</formula>
    </cfRule>
    <cfRule type="containsText" dxfId="148" priority="197" stopIfTrue="1" operator="containsText" text="ПРАВДА">
      <formula>NOT(ISERROR(SEARCH("ПРАВДА",P72)))</formula>
    </cfRule>
  </conditionalFormatting>
  <conditionalFormatting sqref="P69">
    <cfRule type="containsText" dxfId="147" priority="192" stopIfTrue="1" operator="containsText" text="ПОМИЛКА">
      <formula>NOT(ISERROR(SEARCH("ПОМИЛКА",P69)))</formula>
    </cfRule>
    <cfRule type="containsText" dxfId="146" priority="193" stopIfTrue="1" operator="containsText" text="Увага">
      <formula>NOT(ISERROR(SEARCH("Увага",P69)))</formula>
    </cfRule>
    <cfRule type="containsText" dxfId="145" priority="194" stopIfTrue="1" operator="containsText" text="ПРАВДА">
      <formula>NOT(ISERROR(SEARCH("ПРАВДА",P69)))</formula>
    </cfRule>
  </conditionalFormatting>
  <conditionalFormatting sqref="S67">
    <cfRule type="containsText" dxfId="144" priority="189" stopIfTrue="1" operator="containsText" text="ПОМИЛКА">
      <formula>NOT(ISERROR(SEARCH("ПОМИЛКА",S67)))</formula>
    </cfRule>
    <cfRule type="containsText" dxfId="143" priority="190" stopIfTrue="1" operator="containsText" text="Увага">
      <formula>NOT(ISERROR(SEARCH("Увага",S67)))</formula>
    </cfRule>
    <cfRule type="containsText" dxfId="142" priority="191" stopIfTrue="1" operator="containsText" text="ПРАВДА">
      <formula>NOT(ISERROR(SEARCH("ПРАВДА",S67)))</formula>
    </cfRule>
  </conditionalFormatting>
  <conditionalFormatting sqref="S72">
    <cfRule type="containsText" dxfId="141" priority="186" stopIfTrue="1" operator="containsText" text="ПОМИЛКА">
      <formula>NOT(ISERROR(SEARCH("ПОМИЛКА",S72)))</formula>
    </cfRule>
    <cfRule type="containsText" dxfId="140" priority="187" stopIfTrue="1" operator="containsText" text="Увага">
      <formula>NOT(ISERROR(SEARCH("Увага",S72)))</formula>
    </cfRule>
    <cfRule type="containsText" dxfId="139" priority="188" stopIfTrue="1" operator="containsText" text="ПРАВДА">
      <formula>NOT(ISERROR(SEARCH("ПРАВДА",S72)))</formula>
    </cfRule>
  </conditionalFormatting>
  <conditionalFormatting sqref="Z67">
    <cfRule type="containsText" dxfId="138" priority="180" stopIfTrue="1" operator="containsText" text="ПОМИЛКА">
      <formula>NOT(ISERROR(SEARCH("ПОМИЛКА",Z67)))</formula>
    </cfRule>
    <cfRule type="containsText" dxfId="137" priority="181" stopIfTrue="1" operator="containsText" text="Увага">
      <formula>NOT(ISERROR(SEARCH("Увага",Z67)))</formula>
    </cfRule>
    <cfRule type="containsText" dxfId="136" priority="182" stopIfTrue="1" operator="containsText" text="ПРАВДА">
      <formula>NOT(ISERROR(SEARCH("ПРАВДА",Z67)))</formula>
    </cfRule>
  </conditionalFormatting>
  <conditionalFormatting sqref="Z72">
    <cfRule type="containsText" dxfId="135" priority="177" stopIfTrue="1" operator="containsText" text="ПОМИЛКА">
      <formula>NOT(ISERROR(SEARCH("ПОМИЛКА",Z72)))</formula>
    </cfRule>
    <cfRule type="containsText" dxfId="134" priority="178" stopIfTrue="1" operator="containsText" text="Увага">
      <formula>NOT(ISERROR(SEARCH("Увага",Z72)))</formula>
    </cfRule>
    <cfRule type="containsText" dxfId="133" priority="179" stopIfTrue="1" operator="containsText" text="ПРАВДА">
      <formula>NOT(ISERROR(SEARCH("ПРАВДА",Z72)))</formula>
    </cfRule>
  </conditionalFormatting>
  <conditionalFormatting sqref="AJ17">
    <cfRule type="containsText" dxfId="132" priority="168" stopIfTrue="1" operator="containsText" text="ПОМИЛКА">
      <formula>NOT(ISERROR(SEARCH("ПОМИЛКА",AJ17)))</formula>
    </cfRule>
    <cfRule type="containsText" dxfId="131" priority="169" stopIfTrue="1" operator="containsText" text="Увага">
      <formula>NOT(ISERROR(SEARCH("Увага",AJ17)))</formula>
    </cfRule>
    <cfRule type="containsText" dxfId="130" priority="170" stopIfTrue="1" operator="containsText" text="ПРАВДА">
      <formula>NOT(ISERROR(SEARCH("ПРАВДА",AJ17)))</formula>
    </cfRule>
  </conditionalFormatting>
  <conditionalFormatting sqref="AI17">
    <cfRule type="containsText" dxfId="129" priority="171" stopIfTrue="1" operator="containsText" text="ПОМИЛКА">
      <formula>NOT(ISERROR(SEARCH("ПОМИЛКА",AI17)))</formula>
    </cfRule>
    <cfRule type="containsText" dxfId="128" priority="172" stopIfTrue="1" operator="containsText" text="Увага">
      <formula>NOT(ISERROR(SEARCH("Увага",AI17)))</formula>
    </cfRule>
    <cfRule type="containsText" dxfId="127" priority="173" stopIfTrue="1" operator="containsText" text="ПРАВДА">
      <formula>NOT(ISERROR(SEARCH("ПРАВДА",AI17)))</formula>
    </cfRule>
  </conditionalFormatting>
  <conditionalFormatting sqref="AK17">
    <cfRule type="containsText" dxfId="126" priority="165" stopIfTrue="1" operator="containsText" text="ПОМИЛКА">
      <formula>NOT(ISERROR(SEARCH("ПОМИЛКА",AK17)))</formula>
    </cfRule>
    <cfRule type="containsText" dxfId="125" priority="166" stopIfTrue="1" operator="containsText" text="Увага">
      <formula>NOT(ISERROR(SEARCH("Увага",AK17)))</formula>
    </cfRule>
    <cfRule type="containsText" dxfId="124" priority="167" stopIfTrue="1" operator="containsText" text="ПРАВДА">
      <formula>NOT(ISERROR(SEARCH("ПРАВДА",AK17)))</formula>
    </cfRule>
  </conditionalFormatting>
  <conditionalFormatting sqref="AL17">
    <cfRule type="containsText" dxfId="123" priority="162" stopIfTrue="1" operator="containsText" text="ПОМИЛКА">
      <formula>NOT(ISERROR(SEARCH("ПОМИЛКА",AL17)))</formula>
    </cfRule>
    <cfRule type="containsText" dxfId="122" priority="163" stopIfTrue="1" operator="containsText" text="Увага">
      <formula>NOT(ISERROR(SEARCH("Увага",AL17)))</formula>
    </cfRule>
    <cfRule type="containsText" dxfId="121" priority="164" stopIfTrue="1" operator="containsText" text="ПРАВДА">
      <formula>NOT(ISERROR(SEARCH("ПРАВДА",AL17)))</formula>
    </cfRule>
  </conditionalFormatting>
  <conditionalFormatting sqref="AO19">
    <cfRule type="containsText" dxfId="120" priority="159" stopIfTrue="1" operator="containsText" text="ПОМИЛКА">
      <formula>NOT(ISERROR(SEARCH("ПОМИЛКА",AO19)))</formula>
    </cfRule>
    <cfRule type="containsText" dxfId="119" priority="160" stopIfTrue="1" operator="containsText" text="Увага">
      <formula>NOT(ISERROR(SEARCH("Увага",AO19)))</formula>
    </cfRule>
    <cfRule type="containsText" dxfId="118" priority="161" stopIfTrue="1" operator="containsText" text="ПРАВДА">
      <formula>NOT(ISERROR(SEARCH("ПРАВДА",AO19)))</formula>
    </cfRule>
  </conditionalFormatting>
  <conditionalFormatting sqref="AP19">
    <cfRule type="containsText" dxfId="117" priority="156" stopIfTrue="1" operator="containsText" text="ПОМИЛКА">
      <formula>NOT(ISERROR(SEARCH("ПОМИЛКА",AP19)))</formula>
    </cfRule>
    <cfRule type="containsText" dxfId="116" priority="157" stopIfTrue="1" operator="containsText" text="Увага">
      <formula>NOT(ISERROR(SEARCH("Увага",AP19)))</formula>
    </cfRule>
    <cfRule type="containsText" dxfId="115" priority="158" stopIfTrue="1" operator="containsText" text="ПРАВДА">
      <formula>NOT(ISERROR(SEARCH("ПРАВДА",AP19)))</formula>
    </cfRule>
  </conditionalFormatting>
  <conditionalFormatting sqref="AO10">
    <cfRule type="containsText" dxfId="114" priority="153" stopIfTrue="1" operator="containsText" text="ПОМИЛКА">
      <formula>NOT(ISERROR(SEARCH("ПОМИЛКА",AO10)))</formula>
    </cfRule>
    <cfRule type="containsText" dxfId="113" priority="154" stopIfTrue="1" operator="containsText" text="Увага">
      <formula>NOT(ISERROR(SEARCH("Увага",AO10)))</formula>
    </cfRule>
    <cfRule type="containsText" dxfId="112" priority="155" stopIfTrue="1" operator="containsText" text="ПРАВДА">
      <formula>NOT(ISERROR(SEARCH("ПРАВДА",AO10)))</formula>
    </cfRule>
  </conditionalFormatting>
  <conditionalFormatting sqref="AP10">
    <cfRule type="containsText" dxfId="111" priority="150" stopIfTrue="1" operator="containsText" text="ПОМИЛКА">
      <formula>NOT(ISERROR(SEARCH("ПОМИЛКА",AP10)))</formula>
    </cfRule>
    <cfRule type="containsText" dxfId="110" priority="151" stopIfTrue="1" operator="containsText" text="Увага">
      <formula>NOT(ISERROR(SEARCH("Увага",AP10)))</formula>
    </cfRule>
    <cfRule type="containsText" dxfId="109" priority="152" stopIfTrue="1" operator="containsText" text="ПРАВДА">
      <formula>NOT(ISERROR(SEARCH("ПРАВДА",AP10)))</formula>
    </cfRule>
  </conditionalFormatting>
  <conditionalFormatting sqref="F49">
    <cfRule type="cellIs" dxfId="108" priority="148" operator="lessThan">
      <formula>0</formula>
    </cfRule>
  </conditionalFormatting>
  <conditionalFormatting sqref="F44 G43:G44 F46:G47">
    <cfRule type="cellIs" dxfId="107" priority="144" operator="lessThan">
      <formula>0</formula>
    </cfRule>
  </conditionalFormatting>
  <conditionalFormatting sqref="F44 G43:G44 F46:G47">
    <cfRule type="cellIs" dxfId="106" priority="143" stopIfTrue="1" operator="lessThan">
      <formula>0</formula>
    </cfRule>
  </conditionalFormatting>
  <conditionalFormatting sqref="F43">
    <cfRule type="cellIs" dxfId="105" priority="142" operator="lessThan">
      <formula>0</formula>
    </cfRule>
  </conditionalFormatting>
  <conditionalFormatting sqref="Y11:Y12">
    <cfRule type="cellIs" dxfId="104" priority="141" operator="lessThan">
      <formula>0</formula>
    </cfRule>
  </conditionalFormatting>
  <conditionalFormatting sqref="AG33">
    <cfRule type="containsText" dxfId="103" priority="138" stopIfTrue="1" operator="containsText" text="ПОМИЛКА">
      <formula>NOT(ISERROR(SEARCH("ПОМИЛКА",AG33)))</formula>
    </cfRule>
    <cfRule type="containsText" dxfId="102" priority="139" stopIfTrue="1" operator="containsText" text="Увага">
      <formula>NOT(ISERROR(SEARCH("Увага",AG33)))</formula>
    </cfRule>
    <cfRule type="containsText" dxfId="101" priority="140" stopIfTrue="1" operator="containsText" text="ПРАВДА">
      <formula>NOT(ISERROR(SEARCH("ПРАВДА",AG33)))</formula>
    </cfRule>
  </conditionalFormatting>
  <conditionalFormatting sqref="Z69">
    <cfRule type="containsText" dxfId="100" priority="135" stopIfTrue="1" operator="containsText" text="ПОМИЛКА">
      <formula>NOT(ISERROR(SEARCH("ПОМИЛКА",Z69)))</formula>
    </cfRule>
    <cfRule type="containsText" dxfId="99" priority="136" stopIfTrue="1" operator="containsText" text="Увага">
      <formula>NOT(ISERROR(SEARCH("Увага",Z69)))</formula>
    </cfRule>
    <cfRule type="containsText" dxfId="98" priority="137" stopIfTrue="1" operator="containsText" text="ПРАВДА">
      <formula>NOT(ISERROR(SEARCH("ПРАВДА",Z69)))</formula>
    </cfRule>
  </conditionalFormatting>
  <conditionalFormatting sqref="S69">
    <cfRule type="containsText" dxfId="97" priority="132" stopIfTrue="1" operator="containsText" text="ПОМИЛКА">
      <formula>NOT(ISERROR(SEARCH("ПОМИЛКА",S69)))</formula>
    </cfRule>
    <cfRule type="containsText" dxfId="96" priority="133" stopIfTrue="1" operator="containsText" text="Увага">
      <formula>NOT(ISERROR(SEARCH("Увага",S69)))</formula>
    </cfRule>
    <cfRule type="containsText" dxfId="95" priority="134" stopIfTrue="1" operator="containsText" text="ПРАВДА">
      <formula>NOT(ISERROR(SEARCH("ПРАВДА",S69)))</formula>
    </cfRule>
  </conditionalFormatting>
  <conditionalFormatting sqref="K43:K47">
    <cfRule type="cellIs" dxfId="94" priority="129" operator="lessThan">
      <formula>0</formula>
    </cfRule>
  </conditionalFormatting>
  <conditionalFormatting sqref="K43:K47">
    <cfRule type="cellIs" dxfId="93" priority="128" stopIfTrue="1" operator="lessThan">
      <formula>0</formula>
    </cfRule>
  </conditionalFormatting>
  <conditionalFormatting sqref="K54:K55">
    <cfRule type="cellIs" dxfId="92" priority="127" operator="lessThan">
      <formula>0</formula>
    </cfRule>
  </conditionalFormatting>
  <conditionalFormatting sqref="K54:K55">
    <cfRule type="cellIs" dxfId="91" priority="126" stopIfTrue="1" operator="lessThan">
      <formula>0</formula>
    </cfRule>
  </conditionalFormatting>
  <conditionalFormatting sqref="K49:K53">
    <cfRule type="cellIs" dxfId="90" priority="125" operator="lessThan">
      <formula>0</formula>
    </cfRule>
  </conditionalFormatting>
  <conditionalFormatting sqref="K49:K53">
    <cfRule type="cellIs" dxfId="89" priority="124" stopIfTrue="1" operator="lessThan">
      <formula>0</formula>
    </cfRule>
  </conditionalFormatting>
  <conditionalFormatting sqref="F45">
    <cfRule type="cellIs" dxfId="88" priority="123" operator="lessThan">
      <formula>0</formula>
    </cfRule>
  </conditionalFormatting>
  <conditionalFormatting sqref="F45">
    <cfRule type="cellIs" dxfId="87" priority="122" stopIfTrue="1" operator="lessThan">
      <formula>0</formula>
    </cfRule>
  </conditionalFormatting>
  <conditionalFormatting sqref="K42">
    <cfRule type="cellIs" dxfId="86" priority="121" operator="lessThan">
      <formula>0</formula>
    </cfRule>
  </conditionalFormatting>
  <conditionalFormatting sqref="K42">
    <cfRule type="cellIs" dxfId="85" priority="120" stopIfTrue="1" operator="lessThan">
      <formula>0</formula>
    </cfRule>
  </conditionalFormatting>
  <conditionalFormatting sqref="K48">
    <cfRule type="cellIs" dxfId="84" priority="119" operator="lessThan">
      <formula>0</formula>
    </cfRule>
  </conditionalFormatting>
  <conditionalFormatting sqref="K48">
    <cfRule type="cellIs" dxfId="83" priority="118" stopIfTrue="1" operator="lessThan">
      <formula>0</formula>
    </cfRule>
  </conditionalFormatting>
  <conditionalFormatting sqref="R25">
    <cfRule type="cellIs" dxfId="82" priority="117" operator="lessThan">
      <formula>0</formula>
    </cfRule>
  </conditionalFormatting>
  <conditionalFormatting sqref="AF22">
    <cfRule type="cellIs" dxfId="81" priority="116" operator="lessThan">
      <formula>0</formula>
    </cfRule>
  </conditionalFormatting>
  <conditionalFormatting sqref="K70">
    <cfRule type="cellIs" dxfId="80" priority="114" operator="lessThan">
      <formula>0</formula>
    </cfRule>
  </conditionalFormatting>
  <conditionalFormatting sqref="S85">
    <cfRule type="containsText" dxfId="79" priority="111" stopIfTrue="1" operator="containsText" text="ПОМИЛКА">
      <formula>NOT(ISERROR(SEARCH("ПОМИЛКА",S85)))</formula>
    </cfRule>
    <cfRule type="containsText" dxfId="78" priority="112" stopIfTrue="1" operator="containsText" text="Увага">
      <formula>NOT(ISERROR(SEARCH("Увага",S85)))</formula>
    </cfRule>
    <cfRule type="containsText" dxfId="77" priority="113" stopIfTrue="1" operator="containsText" text="ПРАВДА">
      <formula>NOT(ISERROR(SEARCH("ПРАВДА",S85)))</formula>
    </cfRule>
  </conditionalFormatting>
  <conditionalFormatting sqref="H86">
    <cfRule type="containsText" dxfId="76" priority="108" stopIfTrue="1" operator="containsText" text="ПОМИЛКА">
      <formula>NOT(ISERROR(SEARCH("ПОМИЛКА",H86)))</formula>
    </cfRule>
    <cfRule type="containsText" dxfId="75" priority="109" stopIfTrue="1" operator="containsText" text="Увага">
      <formula>NOT(ISERROR(SEARCH("Увага",H86)))</formula>
    </cfRule>
    <cfRule type="containsText" dxfId="74" priority="110" stopIfTrue="1" operator="containsText" text="ПРАВДА">
      <formula>NOT(ISERROR(SEARCH("ПРАВДА",H86)))</formula>
    </cfRule>
  </conditionalFormatting>
  <conditionalFormatting sqref="G87">
    <cfRule type="cellIs" dxfId="73" priority="98" operator="lessThan">
      <formula>0</formula>
    </cfRule>
  </conditionalFormatting>
  <conditionalFormatting sqref="G88:G89">
    <cfRule type="cellIs" dxfId="72" priority="97" operator="lessThan">
      <formula>0</formula>
    </cfRule>
  </conditionalFormatting>
  <conditionalFormatting sqref="D58:D59">
    <cfRule type="cellIs" dxfId="71" priority="96" operator="lessThan">
      <formula>0</formula>
    </cfRule>
  </conditionalFormatting>
  <conditionalFormatting sqref="D58:D59">
    <cfRule type="cellIs" dxfId="70" priority="95" stopIfTrue="1" operator="lessThan">
      <formula>0</formula>
    </cfRule>
  </conditionalFormatting>
  <conditionalFormatting sqref="L57">
    <cfRule type="containsText" dxfId="69" priority="92" stopIfTrue="1" operator="containsText" text="ПОМИЛКА">
      <formula>NOT(ISERROR(SEARCH("ПОМИЛКА",L57)))</formula>
    </cfRule>
    <cfRule type="containsText" dxfId="68" priority="93" stopIfTrue="1" operator="containsText" text="Увага">
      <formula>NOT(ISERROR(SEARCH("Увага",L57)))</formula>
    </cfRule>
    <cfRule type="containsText" dxfId="67" priority="94" stopIfTrue="1" operator="containsText" text="ПРАВДА">
      <formula>NOT(ISERROR(SEARCH("ПРАВДА",L57)))</formula>
    </cfRule>
  </conditionalFormatting>
  <conditionalFormatting sqref="G24:G25">
    <cfRule type="cellIs" dxfId="66" priority="88" operator="lessThan">
      <formula>0</formula>
    </cfRule>
  </conditionalFormatting>
  <conditionalFormatting sqref="T25">
    <cfRule type="cellIs" dxfId="65" priority="76" operator="lessThan">
      <formula>0</formula>
    </cfRule>
  </conditionalFormatting>
  <conditionalFormatting sqref="O27">
    <cfRule type="cellIs" dxfId="64" priority="69" operator="lessThan">
      <formula>0</formula>
    </cfRule>
  </conditionalFormatting>
  <conditionalFormatting sqref="V14:V15">
    <cfRule type="cellIs" dxfId="63" priority="49" operator="lessThan">
      <formula>0</formula>
    </cfRule>
  </conditionalFormatting>
  <conditionalFormatting sqref="V27">
    <cfRule type="cellIs" dxfId="62" priority="62" operator="lessThan">
      <formula>0</formula>
    </cfRule>
  </conditionalFormatting>
  <conditionalFormatting sqref="J88">
    <cfRule type="containsText" dxfId="61" priority="59" stopIfTrue="1" operator="containsText" text="ПОМИЛКА">
      <formula>NOT(ISERROR(SEARCH("ПОМИЛКА",J88)))</formula>
    </cfRule>
    <cfRule type="containsText" dxfId="60" priority="60" stopIfTrue="1" operator="containsText" text="Увага">
      <formula>NOT(ISERROR(SEARCH("Увага",J88)))</formula>
    </cfRule>
    <cfRule type="containsText" dxfId="59" priority="61" stopIfTrue="1" operator="containsText" text="ПРАВДА">
      <formula>NOT(ISERROR(SEARCH("ПРАВДА",J88)))</formula>
    </cfRule>
  </conditionalFormatting>
  <conditionalFormatting sqref="AQ10:AR10">
    <cfRule type="cellIs" dxfId="58" priority="58" stopIfTrue="1" operator="lessThan">
      <formula>0</formula>
    </cfRule>
  </conditionalFormatting>
  <conditionalFormatting sqref="AQ19:AQ20">
    <cfRule type="containsText" dxfId="57" priority="55" stopIfTrue="1" operator="containsText" text="ПОМИЛКА">
      <formula>NOT(ISERROR(SEARCH("ПОМИЛКА",AQ19)))</formula>
    </cfRule>
    <cfRule type="containsText" dxfId="56" priority="56" stopIfTrue="1" operator="containsText" text="Увага">
      <formula>NOT(ISERROR(SEARCH("Увага",AQ19)))</formula>
    </cfRule>
    <cfRule type="containsText" dxfId="55" priority="57" stopIfTrue="1" operator="containsText" text="ПРАВДА">
      <formula>NOT(ISERROR(SEARCH("ПРАВДА",AQ19)))</formula>
    </cfRule>
  </conditionalFormatting>
  <conditionalFormatting sqref="AR19:AR20">
    <cfRule type="containsText" dxfId="54" priority="52" stopIfTrue="1" operator="containsText" text="ПОМИЛКА">
      <formula>NOT(ISERROR(SEARCH("ПОМИЛКА",AR19)))</formula>
    </cfRule>
    <cfRule type="containsText" dxfId="53" priority="53" stopIfTrue="1" operator="containsText" text="Увага">
      <formula>NOT(ISERROR(SEARCH("Увага",AR19)))</formula>
    </cfRule>
    <cfRule type="containsText" dxfId="52" priority="54" stopIfTrue="1" operator="containsText" text="ПРАВДА">
      <formula>NOT(ISERROR(SEARCH("ПРАВДА",AR19)))</formula>
    </cfRule>
  </conditionalFormatting>
  <conditionalFormatting sqref="I77">
    <cfRule type="cellIs" dxfId="51" priority="51" operator="lessThan">
      <formula>0</formula>
    </cfRule>
  </conditionalFormatting>
  <conditionalFormatting sqref="M77">
    <cfRule type="cellIs" dxfId="50" priority="50" operator="lessThan">
      <formula>0</formula>
    </cfRule>
  </conditionalFormatting>
  <conditionalFormatting sqref="AA27">
    <cfRule type="cellIs" dxfId="49" priority="37" operator="lessThan">
      <formula>0</formula>
    </cfRule>
  </conditionalFormatting>
  <conditionalFormatting sqref="AA11:AA12">
    <cfRule type="cellIs" dxfId="48" priority="48" operator="lessThan">
      <formula>0</formula>
    </cfRule>
  </conditionalFormatting>
  <conditionalFormatting sqref="AA14:AA15">
    <cfRule type="cellIs" dxfId="47" priority="47" operator="lessThan">
      <formula>0</formula>
    </cfRule>
  </conditionalFormatting>
  <conditionalFormatting sqref="AB16">
    <cfRule type="cellIs" dxfId="46" priority="46" operator="lessThan">
      <formula>0</formula>
    </cfRule>
  </conditionalFormatting>
  <conditionalFormatting sqref="AB17">
    <cfRule type="cellIs" dxfId="45" priority="45" operator="lessThan">
      <formula>0</formula>
    </cfRule>
  </conditionalFormatting>
  <conditionalFormatting sqref="Y20 AA20 Y24:Y25 V20:V22">
    <cfRule type="cellIs" dxfId="44" priority="44" operator="lessThan">
      <formula>0</formula>
    </cfRule>
  </conditionalFormatting>
  <conditionalFormatting sqref="Y21:Y22">
    <cfRule type="cellIs" dxfId="43" priority="43" operator="lessThan">
      <formula>0</formula>
    </cfRule>
  </conditionalFormatting>
  <conditionalFormatting sqref="V24:V25">
    <cfRule type="cellIs" dxfId="42" priority="42" operator="lessThan">
      <formula>0</formula>
    </cfRule>
  </conditionalFormatting>
  <conditionalFormatting sqref="AA21:AA22">
    <cfRule type="cellIs" dxfId="41" priority="41" operator="lessThan">
      <formula>0</formula>
    </cfRule>
  </conditionalFormatting>
  <conditionalFormatting sqref="AA24:AA25">
    <cfRule type="cellIs" dxfId="40" priority="40" operator="lessThan">
      <formula>0</formula>
    </cfRule>
  </conditionalFormatting>
  <conditionalFormatting sqref="V19 Y19 AA19">
    <cfRule type="cellIs" dxfId="39" priority="39" operator="lessThan">
      <formula>0</formula>
    </cfRule>
  </conditionalFormatting>
  <conditionalFormatting sqref="AA28:AC28 AA29:AB29">
    <cfRule type="cellIs" dxfId="38" priority="38" operator="lessThan">
      <formula>0</formula>
    </cfRule>
  </conditionalFormatting>
  <conditionalFormatting sqref="M28">
    <cfRule type="cellIs" dxfId="37" priority="36" operator="lessThan">
      <formula>0</formula>
    </cfRule>
  </conditionalFormatting>
  <conditionalFormatting sqref="F20:G20">
    <cfRule type="cellIs" dxfId="36" priority="32" operator="lessThan">
      <formula>0</formula>
    </cfRule>
  </conditionalFormatting>
  <conditionalFormatting sqref="N99:N100">
    <cfRule type="cellIs" dxfId="35" priority="30" operator="lessThan">
      <formula>0</formula>
    </cfRule>
  </conditionalFormatting>
  <conditionalFormatting sqref="O99:O100">
    <cfRule type="cellIs" dxfId="34" priority="29" operator="lessThan">
      <formula>0</formula>
    </cfRule>
  </conditionalFormatting>
  <conditionalFormatting sqref="M27">
    <cfRule type="cellIs" dxfId="33" priority="28" operator="lessThan">
      <formula>0</formula>
    </cfRule>
  </conditionalFormatting>
  <conditionalFormatting sqref="O28">
    <cfRule type="cellIs" dxfId="32" priority="27" operator="lessThan">
      <formula>0</formula>
    </cfRule>
  </conditionalFormatting>
  <conditionalFormatting sqref="K27">
    <cfRule type="cellIs" dxfId="31" priority="26" operator="lessThan">
      <formula>0</formula>
    </cfRule>
  </conditionalFormatting>
  <conditionalFormatting sqref="Q27">
    <cfRule type="cellIs" dxfId="30" priority="24" operator="lessThan">
      <formula>0</formula>
    </cfRule>
  </conditionalFormatting>
  <conditionalFormatting sqref="G11:G12 I11:I12 K11:L12">
    <cfRule type="cellIs" dxfId="29" priority="23" operator="lessThan">
      <formula>0</formula>
    </cfRule>
  </conditionalFormatting>
  <conditionalFormatting sqref="I21:I22 G21:G22">
    <cfRule type="cellIs" dxfId="28" priority="22" operator="lessThan">
      <formula>0</formula>
    </cfRule>
  </conditionalFormatting>
  <conditionalFormatting sqref="K21:L22">
    <cfRule type="cellIs" dxfId="27" priority="21" operator="lessThan">
      <formula>0</formula>
    </cfRule>
  </conditionalFormatting>
  <conditionalFormatting sqref="I17 K17:L17">
    <cfRule type="cellIs" dxfId="26" priority="20" operator="lessThan">
      <formula>0</formula>
    </cfRule>
  </conditionalFormatting>
  <conditionalFormatting sqref="P17:Q17">
    <cfRule type="cellIs" dxfId="25" priority="19" operator="lessThan">
      <formula>0</formula>
    </cfRule>
  </conditionalFormatting>
  <conditionalFormatting sqref="N17:O17">
    <cfRule type="cellIs" dxfId="24" priority="18" operator="lessThan">
      <formula>0</formula>
    </cfRule>
  </conditionalFormatting>
  <conditionalFormatting sqref="N23:Q23">
    <cfRule type="cellIs" dxfId="23" priority="17" operator="lessThan">
      <formula>0</formula>
    </cfRule>
  </conditionalFormatting>
  <conditionalFormatting sqref="N21:Q22">
    <cfRule type="cellIs" dxfId="22" priority="16" operator="lessThan">
      <formula>0</formula>
    </cfRule>
  </conditionalFormatting>
  <conditionalFormatting sqref="T21:T22">
    <cfRule type="cellIs" dxfId="21" priority="14" operator="lessThan">
      <formula>0</formula>
    </cfRule>
  </conditionalFormatting>
  <conditionalFormatting sqref="W17:Y17">
    <cfRule type="cellIs" dxfId="20" priority="13" operator="lessThan">
      <formula>0</formula>
    </cfRule>
  </conditionalFormatting>
  <conditionalFormatting sqref="Z17">
    <cfRule type="cellIs" dxfId="19" priority="12" operator="lessThan">
      <formula>0</formula>
    </cfRule>
  </conditionalFormatting>
  <conditionalFormatting sqref="U17">
    <cfRule type="cellIs" dxfId="18" priority="11" operator="lessThan">
      <formula>0</formula>
    </cfRule>
  </conditionalFormatting>
  <conditionalFormatting sqref="T17">
    <cfRule type="cellIs" dxfId="17" priority="10" operator="lessThan">
      <formula>0</formula>
    </cfRule>
  </conditionalFormatting>
  <conditionalFormatting sqref="V17">
    <cfRule type="cellIs" dxfId="16" priority="9" operator="lessThan">
      <formula>0</formula>
    </cfRule>
  </conditionalFormatting>
  <conditionalFormatting sqref="AA17">
    <cfRule type="cellIs" dxfId="15" priority="8" operator="lessThan">
      <formula>0</formula>
    </cfRule>
  </conditionalFormatting>
  <conditionalFormatting sqref="F68">
    <cfRule type="cellIs" dxfId="14" priority="6" operator="lessThan">
      <formula>0</formula>
    </cfRule>
  </conditionalFormatting>
  <conditionalFormatting sqref="G68 I68">
    <cfRule type="cellIs" dxfId="13" priority="5" operator="lessThan">
      <formula>0</formula>
    </cfRule>
  </conditionalFormatting>
  <conditionalFormatting sqref="I27">
    <cfRule type="cellIs" dxfId="12" priority="3" operator="lessThan">
      <formula>0</formula>
    </cfRule>
  </conditionalFormatting>
  <conditionalFormatting sqref="AC31">
    <cfRule type="cellIs" dxfId="11" priority="2" operator="lessThan">
      <formula>0</formula>
    </cfRule>
  </conditionalFormatting>
  <conditionalFormatting sqref="L27">
    <cfRule type="cellIs" dxfId="10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Q27:S27 X17:AA17 N14:Q15 T21:V22 Y11:AA12 AD10:AH15 F17 F21:L25 Y14:AA15 I29:J29 I19:I20 N24:O25 Q24:Q25 N11:Q12 AD17:AH17 AD19:AH25 AM11:AN11 AM13:AN13 AM15:AN15 AI21:AN21 AI23:AN23 AI25:AN25 F27 O27 I27:M27 R29:S29 AD27 Y24:AA25 AF27:AH27 F32:F33 I32:M33 O32:O33 Q32:S33 Z32:AA32 AF32:AF35 F43 G44:H44 I43 F46 G47:H47 I46 F49 G50:H50 I49 F52 G53:H53 I52 J42:K53 J54:J55 K57:K58 H67:H71 L67:O67 L69:O69 L72:O72 Q67:R67 Q69:R69 Q72:R72 T67:U67 W32 G86:G89 E95:J95 L95 N95:Q95 E97:Q97 E99:F100 G100:Q100 N99 Q99 I77 J80:J82 T11:V12 T14:V15 N21:Q22 T24:V25 Y21:AA22 V27 Y27:AA27 V29:AC29 F10:L15 J19 F19:H19 T72:W72 V32:V33 T69:X69 AD32:AD33 Y32:Y33 K19:L20 I17:V17 J67:J71 K67:K72 F67:G72 I67:I72 I78:I82 J78 K77">
      <formula1>0</formula1>
    </dataValidation>
  </dataValidations>
  <printOptions horizontalCentered="1"/>
  <pageMargins left="0.19685039370078741" right="0.27559055118110237" top="0.59055118110236227" bottom="0.35433070866141736" header="0.39370078740157483" footer="0.31496062992125984"/>
  <pageSetup paperSize="9" scale="48" orientation="landscape" r:id="rId1"/>
  <headerFooter alignWithMargins="0">
    <oddFooter>&amp;RСтор.  &amp;P</oddFooter>
  </headerFooter>
  <rowBreaks count="1" manualBreakCount="1">
    <brk id="64" max="16383" man="1"/>
  </rowBreaks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ранжув</vt:lpstr>
      <vt:lpstr>Hidden</vt:lpstr>
      <vt:lpstr>Валідація</vt:lpstr>
      <vt:lpstr>Звіт 1,2,3</vt:lpstr>
      <vt:lpstr>Звіт   4,5,6</vt:lpstr>
      <vt:lpstr>Звіт  7,8</vt:lpstr>
      <vt:lpstr>Звіт   9</vt:lpstr>
      <vt:lpstr>Звіт Пацієнт </vt:lpstr>
      <vt:lpstr>Звіт 10, 11,12,13,14</vt:lpstr>
      <vt:lpstr>Дод_Надходж ПМГ </vt:lpstr>
      <vt:lpstr>Дод_Доходи ПМГ </vt:lpstr>
      <vt:lpstr>Аналіз</vt:lpstr>
      <vt:lpstr>ТБД 4,5, кров</vt:lpstr>
      <vt:lpstr>ТБД ФОП</vt:lpstr>
      <vt:lpstr>ТБД 12,13</vt:lpstr>
      <vt:lpstr>ТБД ФР</vt:lpstr>
      <vt:lpstr>'Дод_Доходи ПМГ '!Заголовки_для_печати</vt:lpstr>
      <vt:lpstr>'Дод_Надходж ПМГ '!Заголовки_для_печати</vt:lpstr>
      <vt:lpstr>'Дод_Доходи ПМГ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Загрядська Олена Валеріївна</dc:creator>
  <cp:lastModifiedBy>puzyna</cp:lastModifiedBy>
  <cp:lastPrinted>2021-07-26T12:23:48Z</cp:lastPrinted>
  <dcterms:created xsi:type="dcterms:W3CDTF">2020-03-06T08:04:17Z</dcterms:created>
  <dcterms:modified xsi:type="dcterms:W3CDTF">2021-08-12T07:44:52Z</dcterms:modified>
</cp:coreProperties>
</file>