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ЦяКнига"/>
  <workbookProtection workbookPassword="FB6B" lockStructure="1"/>
  <bookViews>
    <workbookView xWindow="0" yWindow="0" windowWidth="15600" windowHeight="11745" tabRatio="899" firstSheet="2" activeTab="3"/>
  </bookViews>
  <sheets>
    <sheet name="Hidden" sheetId="98" state="hidden" r:id="rId1"/>
    <sheet name="ранжув рік" sheetId="88" state="hidden" r:id="rId2"/>
    <sheet name="Валідація" sheetId="75" r:id="rId3"/>
    <sheet name="Звіт 1,2,3" sheetId="38" r:id="rId4"/>
    <sheet name="Звіт   4,5,6" sheetId="40" r:id="rId5"/>
    <sheet name="Звіт  7,8" sheetId="42" r:id="rId6"/>
    <sheet name="Звіт   9" sheetId="47" r:id="rId7"/>
    <sheet name="Звіт 10, 11,12,13,14" sheetId="74" r:id="rId8"/>
    <sheet name="Дод_Надходж ПМГ " sheetId="15" r:id="rId9"/>
    <sheet name="Дод_Доходи ПМГ " sheetId="17" r:id="rId10"/>
    <sheet name="Аналіз" sheetId="90" r:id="rId11"/>
    <sheet name="ТБД 1,2,3" sheetId="82" state="hidden" r:id="rId12"/>
    <sheet name="ТБД 5 та 4" sheetId="92" state="hidden" r:id="rId13"/>
    <sheet name="ТБД 5.1." sheetId="85" state="hidden" r:id="rId14"/>
    <sheet name="ТБД ВОП" sheetId="80" state="hidden" r:id="rId15"/>
    <sheet name="ТБД Кров та її компоненти" sheetId="93" state="hidden" r:id="rId16"/>
    <sheet name="ТБД 12,13" sheetId="86" state="hidden" r:id="rId17"/>
    <sheet name="ТБД Баланс" sheetId="81" state="hidden" r:id="rId18"/>
    <sheet name="ТБД ФР" sheetId="83" state="hidden" r:id="rId19"/>
  </sheets>
  <definedNames>
    <definedName name="_xlnm._FilterDatabase" localSheetId="18" hidden="1">'ТБД ФР'!$A$3:$H$3</definedName>
    <definedName name="_xlnm.Print_Titles" localSheetId="9">'Дод_Доходи ПМГ '!$5:$8</definedName>
    <definedName name="_xlnm.Print_Titles" localSheetId="8">'Дод_Надходж ПМГ '!$5:$7</definedName>
    <definedName name="_xlnm.Print_Area" localSheetId="9">'Дод_Доходи ПМГ '!$A$1:$Y$50</definedName>
    <definedName name="_xlnm.Print_Area" localSheetId="6">'Звіт   9'!$A$1:$M$138</definedName>
  </definedNames>
  <calcPr calcId="162913" fullCalcOnLoad="1"/>
</workbook>
</file>

<file path=xl/calcChain.xml><?xml version="1.0" encoding="utf-8"?>
<calcChain xmlns="http://schemas.openxmlformats.org/spreadsheetml/2006/main">
  <c r="C9" i="98" l="1"/>
  <c r="K19" i="38"/>
  <c r="J29" i="75"/>
  <c r="G87" i="40"/>
  <c r="I56" i="47"/>
  <c r="G49" i="81"/>
  <c r="I65" i="47"/>
  <c r="G58" i="81"/>
  <c r="I36" i="47"/>
  <c r="I57" i="47"/>
  <c r="K57" i="47"/>
  <c r="E57" i="47"/>
  <c r="E36" i="47"/>
  <c r="H11" i="40"/>
  <c r="E29" i="17"/>
  <c r="H57" i="47"/>
  <c r="H36" i="47"/>
  <c r="E9" i="17"/>
  <c r="H12" i="40"/>
  <c r="G71" i="74"/>
  <c r="G70" i="74"/>
  <c r="H23" i="40"/>
  <c r="V21" i="74"/>
  <c r="I76" i="74"/>
  <c r="G44" i="40"/>
  <c r="G43" i="40"/>
  <c r="O50" i="40"/>
  <c r="G21" i="74"/>
  <c r="G20" i="74"/>
  <c r="A8" i="98"/>
  <c r="AY5" i="98"/>
  <c r="S5" i="98"/>
  <c r="R5" i="98"/>
  <c r="Q5" i="98"/>
  <c r="P5" i="98"/>
  <c r="O5" i="98"/>
  <c r="N5" i="98"/>
  <c r="M5" i="98"/>
  <c r="L5" i="98"/>
  <c r="J5" i="98"/>
  <c r="I5" i="98"/>
  <c r="H5" i="98"/>
  <c r="H28" i="90"/>
  <c r="K43" i="40"/>
  <c r="E5" i="81"/>
  <c r="G5" i="81"/>
  <c r="H5" i="81"/>
  <c r="E6" i="81"/>
  <c r="G6" i="81"/>
  <c r="H6" i="81"/>
  <c r="E7" i="81"/>
  <c r="G7" i="81"/>
  <c r="H7" i="81"/>
  <c r="E9" i="81"/>
  <c r="G9" i="81"/>
  <c r="H9" i="81"/>
  <c r="E10" i="81"/>
  <c r="G10" i="81"/>
  <c r="H10" i="81"/>
  <c r="E11" i="81"/>
  <c r="G11" i="81"/>
  <c r="H11" i="81"/>
  <c r="E12" i="81"/>
  <c r="G12" i="81"/>
  <c r="H12" i="81"/>
  <c r="E13" i="81"/>
  <c r="G13" i="81"/>
  <c r="H13" i="81"/>
  <c r="E14" i="81"/>
  <c r="G14" i="81"/>
  <c r="H14" i="81"/>
  <c r="E15" i="81"/>
  <c r="G15" i="81"/>
  <c r="H15" i="81"/>
  <c r="E16" i="81"/>
  <c r="G16" i="81"/>
  <c r="H16" i="81"/>
  <c r="E17" i="81"/>
  <c r="G17" i="81"/>
  <c r="H17" i="81"/>
  <c r="E18" i="81"/>
  <c r="G18" i="81"/>
  <c r="H18" i="81"/>
  <c r="E20" i="81"/>
  <c r="G20" i="81"/>
  <c r="H20" i="81"/>
  <c r="E21" i="81"/>
  <c r="G21" i="81"/>
  <c r="H21" i="81"/>
  <c r="E22" i="81"/>
  <c r="G22" i="81"/>
  <c r="H22" i="81"/>
  <c r="E23" i="81"/>
  <c r="G23" i="81"/>
  <c r="H23" i="81"/>
  <c r="E24" i="81"/>
  <c r="G24" i="81"/>
  <c r="H24" i="81"/>
  <c r="E25" i="81"/>
  <c r="G25" i="81"/>
  <c r="H25" i="81"/>
  <c r="E26" i="81"/>
  <c r="G26" i="81"/>
  <c r="H26" i="81"/>
  <c r="E27" i="81"/>
  <c r="G27" i="81"/>
  <c r="H27" i="81"/>
  <c r="E28" i="81"/>
  <c r="G28" i="81"/>
  <c r="H28" i="81"/>
  <c r="E29" i="81"/>
  <c r="G29" i="81"/>
  <c r="H29" i="81"/>
  <c r="E30" i="81"/>
  <c r="H30" i="81"/>
  <c r="E31" i="81"/>
  <c r="G31" i="81"/>
  <c r="H31" i="81"/>
  <c r="E32" i="81"/>
  <c r="G32" i="81"/>
  <c r="H32" i="81"/>
  <c r="E33" i="81"/>
  <c r="G33" i="81"/>
  <c r="H33" i="81"/>
  <c r="E34" i="81"/>
  <c r="G34" i="81"/>
  <c r="H34" i="81"/>
  <c r="E35" i="81"/>
  <c r="G35" i="81"/>
  <c r="H35" i="81"/>
  <c r="E36" i="81"/>
  <c r="G36" i="81"/>
  <c r="H36" i="81"/>
  <c r="E37" i="81"/>
  <c r="G37" i="81"/>
  <c r="H37" i="81"/>
  <c r="E39" i="81"/>
  <c r="G39" i="81"/>
  <c r="H39" i="81"/>
  <c r="E42" i="81"/>
  <c r="F42" i="81"/>
  <c r="G42" i="81"/>
  <c r="H42" i="81"/>
  <c r="I42" i="81"/>
  <c r="E43" i="81"/>
  <c r="G43" i="81"/>
  <c r="H43" i="81"/>
  <c r="E44" i="81"/>
  <c r="G44" i="81"/>
  <c r="H44" i="81"/>
  <c r="E45" i="81"/>
  <c r="G45" i="81"/>
  <c r="H45" i="81"/>
  <c r="E46" i="81"/>
  <c r="G46" i="81"/>
  <c r="H46" i="81"/>
  <c r="E48" i="81"/>
  <c r="G48" i="81"/>
  <c r="H48" i="81"/>
  <c r="E49" i="81"/>
  <c r="H49" i="81"/>
  <c r="E50" i="81"/>
  <c r="H50" i="81"/>
  <c r="E51" i="81"/>
  <c r="G51" i="81"/>
  <c r="H51" i="81"/>
  <c r="E53" i="81"/>
  <c r="G53" i="81"/>
  <c r="H53" i="81"/>
  <c r="E54" i="81"/>
  <c r="G54" i="81"/>
  <c r="H54" i="81"/>
  <c r="E55" i="81"/>
  <c r="G55" i="81"/>
  <c r="H55" i="81"/>
  <c r="E56" i="81"/>
  <c r="G56" i="81"/>
  <c r="H56" i="81"/>
  <c r="I56" i="81"/>
  <c r="L18" i="81"/>
  <c r="E57" i="81"/>
  <c r="G57" i="81"/>
  <c r="H57" i="81"/>
  <c r="E58" i="81"/>
  <c r="H58" i="81"/>
  <c r="E59" i="81"/>
  <c r="G59" i="81"/>
  <c r="H59" i="81"/>
  <c r="E60" i="81"/>
  <c r="G60" i="81"/>
  <c r="H60" i="81"/>
  <c r="E63" i="81"/>
  <c r="G63" i="81"/>
  <c r="H63" i="81"/>
  <c r="E64" i="81"/>
  <c r="G64" i="81"/>
  <c r="H64" i="81"/>
  <c r="E65" i="81"/>
  <c r="F65" i="81"/>
  <c r="G65" i="81"/>
  <c r="H65" i="81"/>
  <c r="I65" i="81"/>
  <c r="E66" i="81"/>
  <c r="G66" i="81"/>
  <c r="H66" i="81"/>
  <c r="E67" i="81"/>
  <c r="G67" i="81"/>
  <c r="H67" i="81"/>
  <c r="E68" i="81"/>
  <c r="G68" i="81"/>
  <c r="H68" i="81"/>
  <c r="E69" i="81"/>
  <c r="G69" i="81"/>
  <c r="H69" i="81"/>
  <c r="E70" i="81"/>
  <c r="G70" i="81"/>
  <c r="H70" i="81"/>
  <c r="E71" i="81"/>
  <c r="G71" i="81"/>
  <c r="H71" i="81"/>
  <c r="E72" i="81"/>
  <c r="G72" i="81"/>
  <c r="H72" i="81"/>
  <c r="E73" i="81"/>
  <c r="G73" i="81"/>
  <c r="H73" i="81"/>
  <c r="E74" i="81"/>
  <c r="G74" i="81"/>
  <c r="H74" i="81"/>
  <c r="E75" i="81"/>
  <c r="G75" i="81"/>
  <c r="H75" i="81"/>
  <c r="E76" i="81"/>
  <c r="G76" i="81"/>
  <c r="H76" i="81"/>
  <c r="E77" i="81"/>
  <c r="G77" i="81"/>
  <c r="H77" i="81"/>
  <c r="E78" i="81"/>
  <c r="G78" i="81"/>
  <c r="H78" i="81"/>
  <c r="E79" i="81"/>
  <c r="G79" i="81"/>
  <c r="H79" i="81"/>
  <c r="E80" i="81"/>
  <c r="G80" i="81"/>
  <c r="H80" i="81"/>
  <c r="E82" i="81"/>
  <c r="G82" i="81"/>
  <c r="H82" i="81"/>
  <c r="E84" i="81"/>
  <c r="G84" i="81"/>
  <c r="H84" i="81"/>
  <c r="D5" i="81"/>
  <c r="D6" i="81"/>
  <c r="D7" i="81"/>
  <c r="D9" i="81"/>
  <c r="D10" i="81"/>
  <c r="D11" i="81"/>
  <c r="D12" i="81"/>
  <c r="D13" i="81"/>
  <c r="D14" i="81"/>
  <c r="D15" i="81"/>
  <c r="D16" i="81"/>
  <c r="D17" i="81"/>
  <c r="D18" i="81"/>
  <c r="D20" i="81"/>
  <c r="D21" i="81"/>
  <c r="D22" i="81"/>
  <c r="D23" i="81"/>
  <c r="D24" i="81"/>
  <c r="D25" i="81"/>
  <c r="D26" i="81"/>
  <c r="D27" i="81"/>
  <c r="D28" i="81"/>
  <c r="D29" i="81"/>
  <c r="D30" i="81"/>
  <c r="D31" i="81"/>
  <c r="D32" i="81"/>
  <c r="D33" i="81"/>
  <c r="D34" i="81"/>
  <c r="D35" i="81"/>
  <c r="D36" i="81"/>
  <c r="D37" i="81"/>
  <c r="D39" i="81"/>
  <c r="D42" i="81"/>
  <c r="D43" i="81"/>
  <c r="D44" i="81"/>
  <c r="D45" i="81"/>
  <c r="D46" i="81"/>
  <c r="D48" i="81"/>
  <c r="D49" i="81"/>
  <c r="D50" i="81"/>
  <c r="D51" i="81"/>
  <c r="D53" i="81"/>
  <c r="D54" i="81"/>
  <c r="D55" i="81"/>
  <c r="D56" i="81"/>
  <c r="D57" i="81"/>
  <c r="D58" i="81"/>
  <c r="D59" i="81"/>
  <c r="D60" i="81"/>
  <c r="D63" i="81"/>
  <c r="D64" i="81"/>
  <c r="D65" i="81"/>
  <c r="D66" i="81"/>
  <c r="D67" i="81"/>
  <c r="D68" i="81"/>
  <c r="D69" i="81"/>
  <c r="D70" i="81"/>
  <c r="D71" i="81"/>
  <c r="D72" i="81"/>
  <c r="D73" i="81"/>
  <c r="D74" i="81"/>
  <c r="D75" i="81"/>
  <c r="D76" i="81"/>
  <c r="D77" i="81"/>
  <c r="D78" i="81"/>
  <c r="D79" i="81"/>
  <c r="D80" i="81"/>
  <c r="D82" i="81"/>
  <c r="D84" i="81"/>
  <c r="D2" i="81"/>
  <c r="E2" i="81"/>
  <c r="F2" i="81"/>
  <c r="G2" i="81"/>
  <c r="H2" i="81"/>
  <c r="I2" i="81"/>
  <c r="C2" i="81"/>
  <c r="H11" i="47"/>
  <c r="F5" i="81"/>
  <c r="K48" i="47"/>
  <c r="K47" i="47"/>
  <c r="I41" i="81"/>
  <c r="H48" i="47"/>
  <c r="H47" i="47"/>
  <c r="F41" i="81"/>
  <c r="K11" i="47"/>
  <c r="I5" i="81"/>
  <c r="K12" i="47"/>
  <c r="I6" i="81"/>
  <c r="L5" i="81"/>
  <c r="K13" i="47"/>
  <c r="I7" i="81"/>
  <c r="K15" i="47"/>
  <c r="I9" i="81"/>
  <c r="L4" i="81"/>
  <c r="K16" i="47"/>
  <c r="I10" i="81"/>
  <c r="K17" i="47"/>
  <c r="I11" i="81"/>
  <c r="K18" i="47"/>
  <c r="I12" i="81"/>
  <c r="K19" i="47"/>
  <c r="I13" i="81"/>
  <c r="K20" i="47"/>
  <c r="K21" i="47"/>
  <c r="I15" i="81"/>
  <c r="K22" i="47"/>
  <c r="I16" i="81"/>
  <c r="K23" i="47"/>
  <c r="I17" i="81"/>
  <c r="K24" i="47"/>
  <c r="K26" i="47"/>
  <c r="I20" i="81"/>
  <c r="K27" i="47"/>
  <c r="I21" i="81"/>
  <c r="L7" i="81"/>
  <c r="K28" i="47"/>
  <c r="I22" i="81"/>
  <c r="K29" i="47"/>
  <c r="K30" i="47"/>
  <c r="I24" i="81"/>
  <c r="K31" i="47"/>
  <c r="I25" i="81"/>
  <c r="K32" i="47"/>
  <c r="I26" i="81"/>
  <c r="K33" i="47"/>
  <c r="I27" i="81"/>
  <c r="K34" i="47"/>
  <c r="I28" i="81"/>
  <c r="K35" i="47"/>
  <c r="I29" i="81"/>
  <c r="K37" i="47"/>
  <c r="I31" i="81"/>
  <c r="K38" i="47"/>
  <c r="I32" i="81"/>
  <c r="K39" i="47"/>
  <c r="I33" i="81"/>
  <c r="K40" i="47"/>
  <c r="I34" i="81"/>
  <c r="L8" i="81"/>
  <c r="K41" i="47"/>
  <c r="I35" i="81"/>
  <c r="L9" i="81"/>
  <c r="K42" i="47"/>
  <c r="I36" i="81"/>
  <c r="K43" i="47"/>
  <c r="I37" i="81"/>
  <c r="K45" i="47"/>
  <c r="I39" i="81"/>
  <c r="K50" i="47"/>
  <c r="K51" i="47"/>
  <c r="I44" i="81"/>
  <c r="K52" i="47"/>
  <c r="I45" i="81"/>
  <c r="L14" i="81"/>
  <c r="K53" i="47"/>
  <c r="I46" i="81"/>
  <c r="K55" i="47"/>
  <c r="I48" i="81"/>
  <c r="L15" i="81"/>
  <c r="K58" i="47"/>
  <c r="I51" i="81"/>
  <c r="K60" i="47"/>
  <c r="I53" i="81"/>
  <c r="K61" i="47"/>
  <c r="I54" i="81"/>
  <c r="K62" i="47"/>
  <c r="I55" i="81"/>
  <c r="K63" i="47"/>
  <c r="K64" i="47"/>
  <c r="I57" i="81"/>
  <c r="K65" i="47"/>
  <c r="I58" i="81"/>
  <c r="K66" i="47"/>
  <c r="I59" i="81"/>
  <c r="K67" i="47"/>
  <c r="I60" i="81"/>
  <c r="K70" i="47"/>
  <c r="I63" i="81"/>
  <c r="K71" i="47"/>
  <c r="I64" i="81"/>
  <c r="K73" i="47"/>
  <c r="I66" i="81"/>
  <c r="K74" i="47"/>
  <c r="I67" i="81"/>
  <c r="K75" i="47"/>
  <c r="I68" i="81"/>
  <c r="K76" i="47"/>
  <c r="I69" i="81"/>
  <c r="K77" i="47"/>
  <c r="I70" i="81"/>
  <c r="K78" i="47"/>
  <c r="I71" i="81"/>
  <c r="K79" i="47"/>
  <c r="I72" i="81"/>
  <c r="K80" i="47"/>
  <c r="I73" i="81"/>
  <c r="K81" i="47"/>
  <c r="I74" i="81"/>
  <c r="K82" i="47"/>
  <c r="I75" i="81"/>
  <c r="K83" i="47"/>
  <c r="I76" i="81"/>
  <c r="K84" i="47"/>
  <c r="K85" i="47"/>
  <c r="I78" i="81"/>
  <c r="K86" i="47"/>
  <c r="I79" i="81"/>
  <c r="L21" i="81"/>
  <c r="K87" i="47"/>
  <c r="I80" i="81"/>
  <c r="K89" i="47"/>
  <c r="I82" i="81"/>
  <c r="K91" i="47"/>
  <c r="I84" i="81"/>
  <c r="H12" i="47"/>
  <c r="F6" i="81"/>
  <c r="H13" i="47"/>
  <c r="F7" i="81"/>
  <c r="H15" i="47"/>
  <c r="F9" i="81"/>
  <c r="K4" i="81"/>
  <c r="H16" i="47"/>
  <c r="F10" i="81"/>
  <c r="H17" i="47"/>
  <c r="F11" i="81"/>
  <c r="H18" i="47"/>
  <c r="F12" i="81"/>
  <c r="H19" i="47"/>
  <c r="F13" i="81"/>
  <c r="H20" i="47"/>
  <c r="F14" i="81"/>
  <c r="H21" i="47"/>
  <c r="F15" i="81"/>
  <c r="H22" i="47"/>
  <c r="F16" i="81"/>
  <c r="H23" i="47"/>
  <c r="F17" i="81"/>
  <c r="H24" i="47"/>
  <c r="F18" i="81"/>
  <c r="H26" i="47"/>
  <c r="F20" i="81"/>
  <c r="H27" i="47"/>
  <c r="F21" i="81"/>
  <c r="K7" i="81"/>
  <c r="H28" i="47"/>
  <c r="F22" i="81"/>
  <c r="H29" i="47"/>
  <c r="F23" i="81"/>
  <c r="H30" i="47"/>
  <c r="F24" i="81"/>
  <c r="H31" i="47"/>
  <c r="I34" i="75"/>
  <c r="H32" i="47"/>
  <c r="F26" i="81"/>
  <c r="H33" i="47"/>
  <c r="F27" i="81"/>
  <c r="H34" i="47"/>
  <c r="F28" i="81"/>
  <c r="H35" i="47"/>
  <c r="F29" i="81"/>
  <c r="H37" i="47"/>
  <c r="F31" i="81"/>
  <c r="H38" i="47"/>
  <c r="F32" i="81"/>
  <c r="H39" i="47"/>
  <c r="F33" i="81"/>
  <c r="H40" i="47"/>
  <c r="H41" i="47"/>
  <c r="F35" i="81"/>
  <c r="K9" i="81"/>
  <c r="H42" i="47"/>
  <c r="V95" i="75"/>
  <c r="H43" i="47"/>
  <c r="F37" i="81"/>
  <c r="H45" i="47"/>
  <c r="F39" i="81"/>
  <c r="H50" i="47"/>
  <c r="F43" i="81"/>
  <c r="K12" i="81"/>
  <c r="H51" i="47"/>
  <c r="F44" i="81"/>
  <c r="K13" i="81"/>
  <c r="H52" i="47"/>
  <c r="F45" i="81"/>
  <c r="K14" i="81"/>
  <c r="H53" i="47"/>
  <c r="F46" i="81"/>
  <c r="H55" i="47"/>
  <c r="F48" i="81"/>
  <c r="K15" i="81"/>
  <c r="H56" i="47"/>
  <c r="F49" i="81"/>
  <c r="K16" i="81"/>
  <c r="H58" i="47"/>
  <c r="F51" i="81"/>
  <c r="H60" i="47"/>
  <c r="F53" i="81"/>
  <c r="H61" i="47"/>
  <c r="F54" i="81"/>
  <c r="H62" i="47"/>
  <c r="F55" i="81"/>
  <c r="H63" i="47"/>
  <c r="F56" i="81"/>
  <c r="H64" i="47"/>
  <c r="F57" i="81"/>
  <c r="H65" i="47"/>
  <c r="H66" i="47"/>
  <c r="F59" i="81"/>
  <c r="H67" i="47"/>
  <c r="F60" i="81"/>
  <c r="H70" i="47"/>
  <c r="F63" i="81"/>
  <c r="H71" i="47"/>
  <c r="F64" i="81"/>
  <c r="K20" i="81"/>
  <c r="H73" i="47"/>
  <c r="F66" i="81"/>
  <c r="H74" i="47"/>
  <c r="F67" i="81"/>
  <c r="H75" i="47"/>
  <c r="F68" i="81"/>
  <c r="H76" i="47"/>
  <c r="F69" i="81"/>
  <c r="H77" i="47"/>
  <c r="F70" i="81"/>
  <c r="H78" i="47"/>
  <c r="F71" i="81"/>
  <c r="H79" i="47"/>
  <c r="F72" i="81"/>
  <c r="H80" i="47"/>
  <c r="F73" i="81"/>
  <c r="H81" i="47"/>
  <c r="F74" i="81"/>
  <c r="H82" i="47"/>
  <c r="F75" i="81"/>
  <c r="H83" i="47"/>
  <c r="F76" i="81"/>
  <c r="V92" i="75"/>
  <c r="H84" i="47"/>
  <c r="F77" i="81"/>
  <c r="H85" i="47"/>
  <c r="F78" i="81"/>
  <c r="H86" i="47"/>
  <c r="F79" i="81"/>
  <c r="K21" i="81"/>
  <c r="H87" i="47"/>
  <c r="F80" i="81"/>
  <c r="H89" i="47"/>
  <c r="F82" i="81"/>
  <c r="H91" i="47"/>
  <c r="F84" i="81"/>
  <c r="G14" i="47"/>
  <c r="E8" i="81"/>
  <c r="E10" i="47"/>
  <c r="G10" i="47"/>
  <c r="E4" i="81"/>
  <c r="G90" i="47"/>
  <c r="E83" i="81"/>
  <c r="G44" i="47"/>
  <c r="E38" i="81"/>
  <c r="G47" i="47"/>
  <c r="E41" i="81"/>
  <c r="G48" i="47"/>
  <c r="G54" i="47"/>
  <c r="E47" i="81"/>
  <c r="G59" i="47"/>
  <c r="E52" i="81"/>
  <c r="G68" i="47"/>
  <c r="E61" i="81"/>
  <c r="G69" i="47"/>
  <c r="E62" i="81"/>
  <c r="G88" i="47"/>
  <c r="E81" i="81"/>
  <c r="M95" i="75"/>
  <c r="H95" i="75"/>
  <c r="J95" i="75"/>
  <c r="J34" i="75"/>
  <c r="C25" i="81"/>
  <c r="C77" i="81"/>
  <c r="E6" i="90"/>
  <c r="I58" i="38"/>
  <c r="Q6" i="82"/>
  <c r="F9" i="15"/>
  <c r="P43" i="40"/>
  <c r="Q43" i="40"/>
  <c r="M43" i="40"/>
  <c r="M11" i="85"/>
  <c r="L43" i="40"/>
  <c r="K11" i="85"/>
  <c r="J43" i="40"/>
  <c r="M19" i="38"/>
  <c r="I6" i="90"/>
  <c r="O34" i="75"/>
  <c r="N34" i="75"/>
  <c r="R34" i="75"/>
  <c r="M38" i="75"/>
  <c r="Q38" i="75"/>
  <c r="K38" i="75"/>
  <c r="H31" i="75"/>
  <c r="D23" i="88"/>
  <c r="D20" i="88"/>
  <c r="S65" i="75"/>
  <c r="P65" i="75"/>
  <c r="O65" i="75"/>
  <c r="G88" i="74"/>
  <c r="G85" i="74"/>
  <c r="I9" i="86"/>
  <c r="D22" i="88"/>
  <c r="D21" i="88"/>
  <c r="P33" i="75"/>
  <c r="M94" i="75"/>
  <c r="L48" i="47"/>
  <c r="D40" i="88"/>
  <c r="D27" i="88"/>
  <c r="D26" i="88"/>
  <c r="R38" i="75"/>
  <c r="J38" i="75"/>
  <c r="L38" i="75"/>
  <c r="N38" i="75"/>
  <c r="T84" i="75"/>
  <c r="S84" i="75"/>
  <c r="G62" i="75"/>
  <c r="M4" i="82"/>
  <c r="L4" i="82"/>
  <c r="M6" i="82"/>
  <c r="L6" i="82"/>
  <c r="S6" i="82"/>
  <c r="T6" i="82"/>
  <c r="U6" i="82"/>
  <c r="V6" i="82"/>
  <c r="W6" i="82"/>
  <c r="R6" i="82"/>
  <c r="J141" i="75"/>
  <c r="I141" i="75"/>
  <c r="R21" i="42"/>
  <c r="AT92" i="75"/>
  <c r="AU92" i="75"/>
  <c r="D47" i="88"/>
  <c r="D9" i="15"/>
  <c r="G89" i="75"/>
  <c r="D69" i="88"/>
  <c r="M27" i="75"/>
  <c r="J27" i="75"/>
  <c r="G27" i="75"/>
  <c r="X20" i="38"/>
  <c r="H34" i="75"/>
  <c r="H91" i="75"/>
  <c r="L91" i="75"/>
  <c r="I38" i="75"/>
  <c r="K44" i="75"/>
  <c r="I46" i="75"/>
  <c r="L48" i="75"/>
  <c r="L44" i="75"/>
  <c r="V91" i="75"/>
  <c r="Z91" i="75"/>
  <c r="AB91" i="75"/>
  <c r="G29" i="75"/>
  <c r="D24" i="88"/>
  <c r="D9" i="17"/>
  <c r="A50" i="17"/>
  <c r="C50" i="17"/>
  <c r="A49" i="17"/>
  <c r="C49" i="17"/>
  <c r="A11" i="17"/>
  <c r="C11" i="17"/>
  <c r="A12" i="17"/>
  <c r="C12" i="17"/>
  <c r="A13" i="17"/>
  <c r="C13" i="17"/>
  <c r="A14" i="17"/>
  <c r="C14" i="17"/>
  <c r="A15" i="17"/>
  <c r="C15" i="17"/>
  <c r="A16" i="17"/>
  <c r="C16" i="17"/>
  <c r="A17" i="17"/>
  <c r="C17" i="17"/>
  <c r="A18" i="17"/>
  <c r="C18" i="17"/>
  <c r="A19" i="17"/>
  <c r="C19" i="17"/>
  <c r="A20" i="17"/>
  <c r="C20" i="17"/>
  <c r="A21" i="17"/>
  <c r="C21" i="17"/>
  <c r="A22" i="17"/>
  <c r="C22" i="17"/>
  <c r="A23" i="17"/>
  <c r="C23" i="17"/>
  <c r="A24" i="17"/>
  <c r="C24" i="17"/>
  <c r="A25" i="17"/>
  <c r="C25" i="17"/>
  <c r="A26" i="17"/>
  <c r="C26" i="17"/>
  <c r="A27" i="17"/>
  <c r="C27" i="17"/>
  <c r="A28" i="17"/>
  <c r="C28" i="17"/>
  <c r="A29" i="17"/>
  <c r="C29" i="17"/>
  <c r="A30" i="17"/>
  <c r="C30" i="17"/>
  <c r="A31" i="17"/>
  <c r="C31" i="17"/>
  <c r="A32" i="17"/>
  <c r="C32" i="17"/>
  <c r="A33" i="17"/>
  <c r="C33" i="17"/>
  <c r="A34" i="17"/>
  <c r="C34" i="17"/>
  <c r="A35" i="17"/>
  <c r="C35" i="17"/>
  <c r="A36" i="17"/>
  <c r="C36" i="17"/>
  <c r="A37" i="17"/>
  <c r="C37" i="17"/>
  <c r="A38" i="17"/>
  <c r="C38" i="17"/>
  <c r="A39" i="17"/>
  <c r="C39" i="17"/>
  <c r="A40" i="17"/>
  <c r="C40" i="17"/>
  <c r="A41" i="17"/>
  <c r="C41" i="17"/>
  <c r="A42" i="17"/>
  <c r="C42" i="17"/>
  <c r="A43" i="17"/>
  <c r="C43" i="17"/>
  <c r="A44" i="17"/>
  <c r="C44" i="17"/>
  <c r="A45" i="17"/>
  <c r="C45" i="17"/>
  <c r="A46" i="17"/>
  <c r="C46" i="17"/>
  <c r="A47" i="17"/>
  <c r="C47" i="17"/>
  <c r="A48" i="17"/>
  <c r="C48" i="17"/>
  <c r="C10" i="17"/>
  <c r="A10" i="17"/>
  <c r="G9" i="15"/>
  <c r="H9" i="15"/>
  <c r="E37" i="15"/>
  <c r="E38" i="15"/>
  <c r="E39" i="15"/>
  <c r="E40" i="15"/>
  <c r="E41" i="15"/>
  <c r="E42" i="15"/>
  <c r="E43" i="15"/>
  <c r="E44" i="15"/>
  <c r="E45" i="15"/>
  <c r="E46" i="15"/>
  <c r="E47" i="15"/>
  <c r="E48" i="15"/>
  <c r="E49" i="15"/>
  <c r="E50" i="15"/>
  <c r="U72" i="75"/>
  <c r="D44" i="88"/>
  <c r="D46" i="88"/>
  <c r="D45" i="88"/>
  <c r="S94" i="75"/>
  <c r="T94" i="75"/>
  <c r="R20" i="38"/>
  <c r="J54" i="47"/>
  <c r="H47" i="81"/>
  <c r="I54" i="47"/>
  <c r="G47" i="81"/>
  <c r="F54" i="47"/>
  <c r="D47" i="81"/>
  <c r="E54" i="47"/>
  <c r="H54" i="47"/>
  <c r="J88" i="47"/>
  <c r="H81" i="81"/>
  <c r="I88" i="47"/>
  <c r="K88" i="47"/>
  <c r="N97" i="75"/>
  <c r="F88" i="47"/>
  <c r="D81" i="81"/>
  <c r="E88" i="47"/>
  <c r="H88" i="47"/>
  <c r="J68" i="47"/>
  <c r="H61" i="81"/>
  <c r="F68" i="47"/>
  <c r="D61" i="81"/>
  <c r="E68" i="47"/>
  <c r="F53" i="90"/>
  <c r="Q11" i="85"/>
  <c r="N43" i="40"/>
  <c r="Q5" i="85"/>
  <c r="Q7" i="85"/>
  <c r="Q8" i="85"/>
  <c r="Q9" i="85"/>
  <c r="Q12" i="85"/>
  <c r="Q13" i="85"/>
  <c r="Q14" i="85"/>
  <c r="Q15" i="85"/>
  <c r="Q16" i="85"/>
  <c r="Q17" i="85"/>
  <c r="Q18" i="85"/>
  <c r="Q19" i="85"/>
  <c r="Q20" i="85"/>
  <c r="Q21" i="85"/>
  <c r="Q22" i="85"/>
  <c r="Q23" i="85"/>
  <c r="Q24" i="85"/>
  <c r="Q25" i="85"/>
  <c r="Q27" i="85"/>
  <c r="Q28" i="85"/>
  <c r="Q29" i="85"/>
  <c r="Q30" i="85"/>
  <c r="Q31" i="85"/>
  <c r="Q32" i="85"/>
  <c r="Q33" i="85"/>
  <c r="Q35" i="85"/>
  <c r="Q36" i="85"/>
  <c r="Q37" i="85"/>
  <c r="Q38" i="85"/>
  <c r="Q40" i="85"/>
  <c r="Q41" i="85"/>
  <c r="Q42" i="85"/>
  <c r="Q43" i="85"/>
  <c r="Q44" i="85"/>
  <c r="Q45" i="85"/>
  <c r="Q46" i="85"/>
  <c r="Q47" i="85"/>
  <c r="Q48" i="85"/>
  <c r="Q49" i="85"/>
  <c r="Q50" i="85"/>
  <c r="Q51" i="85"/>
  <c r="Q52" i="85"/>
  <c r="Q53" i="85"/>
  <c r="Q54" i="85"/>
  <c r="Q55" i="85"/>
  <c r="Q57" i="85"/>
  <c r="Q58" i="85"/>
  <c r="Q59" i="85"/>
  <c r="Q60" i="85"/>
  <c r="H24" i="90"/>
  <c r="I24" i="90"/>
  <c r="K24" i="90"/>
  <c r="L24" i="90"/>
  <c r="M24" i="90"/>
  <c r="N24" i="90"/>
  <c r="O24" i="90"/>
  <c r="P24" i="90"/>
  <c r="H25" i="90"/>
  <c r="I25" i="90"/>
  <c r="K25" i="90"/>
  <c r="L25" i="90"/>
  <c r="M25" i="90"/>
  <c r="N25" i="90"/>
  <c r="O25" i="90"/>
  <c r="P25" i="90"/>
  <c r="H26" i="90"/>
  <c r="I26" i="90"/>
  <c r="K26" i="90"/>
  <c r="L26" i="90"/>
  <c r="M26" i="90"/>
  <c r="N26" i="90"/>
  <c r="O26" i="90"/>
  <c r="P26" i="90"/>
  <c r="H27" i="90"/>
  <c r="I27" i="90"/>
  <c r="K27" i="90"/>
  <c r="L27" i="90"/>
  <c r="M27" i="90"/>
  <c r="N27" i="90"/>
  <c r="O27" i="90"/>
  <c r="P27" i="90"/>
  <c r="I28" i="90"/>
  <c r="K28" i="90"/>
  <c r="L28" i="90"/>
  <c r="M28" i="90"/>
  <c r="N28" i="90"/>
  <c r="O28" i="90"/>
  <c r="P28" i="90"/>
  <c r="H29" i="90"/>
  <c r="I29" i="90"/>
  <c r="K29" i="90"/>
  <c r="L29" i="90"/>
  <c r="Q29" i="90"/>
  <c r="M29" i="90"/>
  <c r="N29" i="90"/>
  <c r="O29" i="90"/>
  <c r="P29" i="90"/>
  <c r="H30" i="90"/>
  <c r="I30" i="90"/>
  <c r="K30" i="90"/>
  <c r="L30" i="90"/>
  <c r="M30" i="90"/>
  <c r="N30" i="90"/>
  <c r="O30" i="90"/>
  <c r="P30" i="90"/>
  <c r="H31" i="90"/>
  <c r="I31" i="90"/>
  <c r="K31" i="90"/>
  <c r="L31" i="90"/>
  <c r="M31" i="90"/>
  <c r="N31" i="90"/>
  <c r="O31" i="90"/>
  <c r="P31" i="90"/>
  <c r="K33" i="90"/>
  <c r="K35" i="90"/>
  <c r="H38" i="90"/>
  <c r="I38" i="90"/>
  <c r="K38" i="90"/>
  <c r="L38" i="90"/>
  <c r="M38" i="90"/>
  <c r="N38" i="90"/>
  <c r="O38" i="90"/>
  <c r="P38" i="90"/>
  <c r="D6" i="90"/>
  <c r="G6" i="90"/>
  <c r="H6" i="90"/>
  <c r="F46" i="90"/>
  <c r="O43" i="40"/>
  <c r="O11" i="85"/>
  <c r="I43" i="40"/>
  <c r="I11" i="85"/>
  <c r="J1" i="80"/>
  <c r="E24" i="42"/>
  <c r="O24" i="42"/>
  <c r="J5" i="80"/>
  <c r="E23" i="42"/>
  <c r="B4" i="80"/>
  <c r="E22" i="42"/>
  <c r="F43" i="40"/>
  <c r="F11" i="85"/>
  <c r="E59" i="47"/>
  <c r="I6" i="82"/>
  <c r="K72" i="75"/>
  <c r="J90" i="47"/>
  <c r="H83" i="81"/>
  <c r="I90" i="47"/>
  <c r="G83" i="81"/>
  <c r="F90" i="47"/>
  <c r="E90" i="47"/>
  <c r="AZ92" i="75"/>
  <c r="AY92" i="75"/>
  <c r="AM92" i="75"/>
  <c r="AL92" i="75"/>
  <c r="L51" i="75"/>
  <c r="U92" i="75"/>
  <c r="AN95" i="75"/>
  <c r="J69" i="47"/>
  <c r="H62" i="81"/>
  <c r="F69" i="47"/>
  <c r="D62" i="81"/>
  <c r="E69" i="47"/>
  <c r="AI20" i="74"/>
  <c r="G77" i="75"/>
  <c r="I69" i="47"/>
  <c r="G62" i="81"/>
  <c r="H107" i="75"/>
  <c r="G107" i="75"/>
  <c r="H105" i="75"/>
  <c r="G105" i="75"/>
  <c r="G103" i="75"/>
  <c r="J59" i="47"/>
  <c r="J92" i="47"/>
  <c r="H52" i="81"/>
  <c r="I59" i="47"/>
  <c r="K59" i="47"/>
  <c r="I52" i="81"/>
  <c r="F59" i="47"/>
  <c r="D52" i="81"/>
  <c r="BB92" i="75"/>
  <c r="Q111" i="75"/>
  <c r="G97" i="75"/>
  <c r="H72" i="75"/>
  <c r="G15" i="75"/>
  <c r="J48" i="47"/>
  <c r="I48" i="47"/>
  <c r="F48" i="47"/>
  <c r="E48" i="47"/>
  <c r="J47" i="47"/>
  <c r="H41" i="81"/>
  <c r="I47" i="47"/>
  <c r="G41" i="81"/>
  <c r="F47" i="47"/>
  <c r="D41" i="81"/>
  <c r="J44" i="47"/>
  <c r="H38" i="81"/>
  <c r="F44" i="47"/>
  <c r="D38" i="81"/>
  <c r="E44" i="47"/>
  <c r="AD95" i="75"/>
  <c r="W95" i="75"/>
  <c r="AI92" i="75"/>
  <c r="AE92" i="75"/>
  <c r="AM95" i="75"/>
  <c r="AK95" i="75"/>
  <c r="AD92" i="75"/>
  <c r="L95" i="75"/>
  <c r="H73" i="90"/>
  <c r="E73" i="90"/>
  <c r="T111" i="75"/>
  <c r="J14" i="47"/>
  <c r="H8" i="81"/>
  <c r="I14" i="47"/>
  <c r="G8" i="81"/>
  <c r="F14" i="47"/>
  <c r="D8" i="81"/>
  <c r="E14" i="47"/>
  <c r="E25" i="47"/>
  <c r="C19" i="81"/>
  <c r="G86" i="75"/>
  <c r="J10" i="47"/>
  <c r="H4" i="81"/>
  <c r="I10" i="47"/>
  <c r="G4" i="81"/>
  <c r="F10" i="47"/>
  <c r="D4" i="81"/>
  <c r="N96" i="74"/>
  <c r="K96" i="74"/>
  <c r="AE21" i="74"/>
  <c r="D82" i="83"/>
  <c r="C47" i="81"/>
  <c r="C58" i="81"/>
  <c r="C39" i="81"/>
  <c r="I96" i="74"/>
  <c r="L96" i="74"/>
  <c r="F16" i="42"/>
  <c r="E16" i="42"/>
  <c r="F15" i="42"/>
  <c r="H6" i="80"/>
  <c r="E15" i="42"/>
  <c r="H13" i="80"/>
  <c r="F14" i="42"/>
  <c r="E14" i="42"/>
  <c r="G13" i="80"/>
  <c r="F13" i="42"/>
  <c r="F6" i="80"/>
  <c r="E13" i="42"/>
  <c r="F12" i="42"/>
  <c r="E12" i="42"/>
  <c r="E13" i="80"/>
  <c r="F11" i="42"/>
  <c r="E11" i="42"/>
  <c r="D13" i="80"/>
  <c r="F10" i="42"/>
  <c r="E10" i="42"/>
  <c r="C13" i="80"/>
  <c r="P9" i="42"/>
  <c r="O9" i="42"/>
  <c r="N9" i="42"/>
  <c r="B10" i="80"/>
  <c r="M9" i="42"/>
  <c r="B17" i="80"/>
  <c r="L9" i="42"/>
  <c r="B9" i="80"/>
  <c r="K9" i="42"/>
  <c r="B16" i="80"/>
  <c r="J9" i="42"/>
  <c r="H121" i="75"/>
  <c r="I9" i="42"/>
  <c r="B15" i="80"/>
  <c r="H9" i="42"/>
  <c r="B7" i="80"/>
  <c r="G9" i="42"/>
  <c r="E35" i="15"/>
  <c r="E14" i="15"/>
  <c r="E10" i="15"/>
  <c r="E11" i="15"/>
  <c r="E12" i="15"/>
  <c r="E15" i="15"/>
  <c r="E16" i="15"/>
  <c r="E17" i="15"/>
  <c r="E18" i="15"/>
  <c r="E19" i="15"/>
  <c r="E20" i="15"/>
  <c r="E21" i="15"/>
  <c r="E22" i="15"/>
  <c r="E23" i="15"/>
  <c r="E24" i="15"/>
  <c r="E25" i="15"/>
  <c r="E26" i="15"/>
  <c r="E27" i="15"/>
  <c r="E28" i="15"/>
  <c r="E29" i="15"/>
  <c r="E30" i="15"/>
  <c r="E31" i="15"/>
  <c r="E32" i="15"/>
  <c r="E33" i="15"/>
  <c r="E34" i="15"/>
  <c r="E36" i="15"/>
  <c r="O80" i="38"/>
  <c r="N80" i="38"/>
  <c r="N70" i="38"/>
  <c r="M80" i="38"/>
  <c r="L80" i="38"/>
  <c r="I38" i="82"/>
  <c r="K80" i="38"/>
  <c r="H38" i="82"/>
  <c r="J80" i="38"/>
  <c r="I80" i="38"/>
  <c r="H80" i="38"/>
  <c r="O75" i="38"/>
  <c r="E33" i="82"/>
  <c r="N75" i="38"/>
  <c r="K33" i="82"/>
  <c r="M75" i="38"/>
  <c r="L75" i="38"/>
  <c r="L70" i="38"/>
  <c r="K75" i="38"/>
  <c r="J75" i="38"/>
  <c r="G33" i="82"/>
  <c r="I75" i="38"/>
  <c r="F33" i="82"/>
  <c r="H75" i="38"/>
  <c r="O71" i="38"/>
  <c r="N71" i="38"/>
  <c r="K29" i="82"/>
  <c r="M71" i="38"/>
  <c r="M70" i="38"/>
  <c r="L71" i="38"/>
  <c r="K71" i="38"/>
  <c r="H29" i="82"/>
  <c r="J71" i="38"/>
  <c r="I71" i="38"/>
  <c r="F29" i="82"/>
  <c r="H71" i="38"/>
  <c r="E13" i="15"/>
  <c r="K2" i="93"/>
  <c r="L2" i="93"/>
  <c r="J2" i="93"/>
  <c r="I2" i="93"/>
  <c r="H5" i="93"/>
  <c r="F5" i="93"/>
  <c r="D5" i="93"/>
  <c r="B5" i="93"/>
  <c r="F3" i="93"/>
  <c r="H3" i="93"/>
  <c r="G3" i="93"/>
  <c r="E3" i="93"/>
  <c r="A5" i="93"/>
  <c r="H5" i="86"/>
  <c r="G5" i="86"/>
  <c r="H9" i="86"/>
  <c r="G9" i="86"/>
  <c r="C43" i="81"/>
  <c r="C44" i="81"/>
  <c r="C45" i="81"/>
  <c r="C46" i="81"/>
  <c r="C48" i="81"/>
  <c r="C49" i="81"/>
  <c r="C51" i="81"/>
  <c r="C53" i="81"/>
  <c r="C54" i="81"/>
  <c r="C55" i="81"/>
  <c r="C56" i="81"/>
  <c r="C57" i="81"/>
  <c r="C59" i="81"/>
  <c r="C60" i="81"/>
  <c r="C63" i="81"/>
  <c r="C64" i="81"/>
  <c r="C65" i="81"/>
  <c r="C66" i="81"/>
  <c r="C67" i="81"/>
  <c r="C68" i="81"/>
  <c r="C69" i="81"/>
  <c r="C70" i="81"/>
  <c r="C71" i="81"/>
  <c r="C72" i="81"/>
  <c r="C73" i="81"/>
  <c r="C74" i="81"/>
  <c r="C75" i="81"/>
  <c r="C76" i="81"/>
  <c r="C78" i="81"/>
  <c r="C79" i="81"/>
  <c r="C80" i="81"/>
  <c r="C84" i="81"/>
  <c r="C42" i="81"/>
  <c r="C4" i="81"/>
  <c r="C5" i="81"/>
  <c r="C6" i="81"/>
  <c r="C7" i="81"/>
  <c r="C9" i="81"/>
  <c r="C10" i="81"/>
  <c r="C11" i="81"/>
  <c r="C12" i="81"/>
  <c r="C13" i="81"/>
  <c r="C14" i="81"/>
  <c r="C15" i="81"/>
  <c r="C17" i="81"/>
  <c r="C18" i="81"/>
  <c r="C20" i="81"/>
  <c r="C21" i="81"/>
  <c r="C22" i="81"/>
  <c r="C23" i="81"/>
  <c r="C24" i="81"/>
  <c r="C26" i="81"/>
  <c r="C27" i="81"/>
  <c r="C28" i="81"/>
  <c r="C29" i="81"/>
  <c r="C30" i="81"/>
  <c r="C31" i="81"/>
  <c r="C32" i="81"/>
  <c r="C33" i="81"/>
  <c r="C34" i="81"/>
  <c r="C35" i="81"/>
  <c r="C36" i="81"/>
  <c r="G58" i="88"/>
  <c r="G59" i="88"/>
  <c r="G60" i="88"/>
  <c r="G61" i="88"/>
  <c r="G62" i="88"/>
  <c r="G63" i="88"/>
  <c r="G64" i="88"/>
  <c r="G65" i="88"/>
  <c r="G66" i="88"/>
  <c r="G67" i="88"/>
  <c r="G68" i="88"/>
  <c r="G69" i="88"/>
  <c r="G57" i="88"/>
  <c r="D16" i="88"/>
  <c r="D14" i="88"/>
  <c r="D15" i="88"/>
  <c r="D17" i="88"/>
  <c r="D1" i="75"/>
  <c r="G119" i="75"/>
  <c r="G123" i="75"/>
  <c r="N94" i="74"/>
  <c r="F94" i="74"/>
  <c r="AF24" i="74"/>
  <c r="K68" i="74"/>
  <c r="Q96" i="74"/>
  <c r="N12" i="75"/>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H9" i="82"/>
  <c r="I9" i="82"/>
  <c r="H10" i="82"/>
  <c r="I10" i="82"/>
  <c r="H11" i="82"/>
  <c r="I11" i="82"/>
  <c r="H12" i="82"/>
  <c r="I12" i="82"/>
  <c r="H13" i="82"/>
  <c r="I13" i="82"/>
  <c r="H14" i="82"/>
  <c r="I14" i="82"/>
  <c r="H15" i="82"/>
  <c r="I15" i="82"/>
  <c r="H16" i="82"/>
  <c r="I16" i="82"/>
  <c r="H17" i="82"/>
  <c r="I17" i="82"/>
  <c r="H18" i="82"/>
  <c r="I18" i="82"/>
  <c r="H19" i="82"/>
  <c r="I19" i="82"/>
  <c r="H20" i="82"/>
  <c r="I20" i="82"/>
  <c r="H21" i="82"/>
  <c r="I21" i="82"/>
  <c r="H22" i="82"/>
  <c r="I22" i="82"/>
  <c r="H23" i="82"/>
  <c r="I23" i="82"/>
  <c r="H24" i="82"/>
  <c r="I24" i="82"/>
  <c r="H25" i="82"/>
  <c r="I25" i="82"/>
  <c r="H26" i="82"/>
  <c r="I26" i="82"/>
  <c r="H27" i="82"/>
  <c r="I27" i="82"/>
  <c r="J9" i="82"/>
  <c r="K9" i="82"/>
  <c r="J10" i="82"/>
  <c r="K10" i="82"/>
  <c r="J11" i="82"/>
  <c r="K11" i="82"/>
  <c r="J12" i="82"/>
  <c r="K12" i="82"/>
  <c r="J13" i="82"/>
  <c r="K13" i="82"/>
  <c r="J14" i="82"/>
  <c r="K14" i="82"/>
  <c r="J15" i="82"/>
  <c r="K15" i="82"/>
  <c r="J16" i="82"/>
  <c r="K16" i="82"/>
  <c r="J17" i="82"/>
  <c r="K17" i="82"/>
  <c r="J18" i="82"/>
  <c r="K18" i="82"/>
  <c r="J19" i="82"/>
  <c r="K19" i="82"/>
  <c r="J20" i="82"/>
  <c r="K20" i="82"/>
  <c r="J21" i="82"/>
  <c r="K21" i="82"/>
  <c r="J22" i="82"/>
  <c r="K22" i="82"/>
  <c r="J23" i="82"/>
  <c r="K23" i="82"/>
  <c r="J24" i="82"/>
  <c r="K24" i="82"/>
  <c r="J25" i="82"/>
  <c r="K25" i="82"/>
  <c r="J26" i="82"/>
  <c r="K26" i="82"/>
  <c r="J27" i="82"/>
  <c r="K27" i="82"/>
  <c r="D9" i="82"/>
  <c r="D10" i="82"/>
  <c r="D11" i="82"/>
  <c r="D12" i="82"/>
  <c r="D13" i="82"/>
  <c r="D14" i="82"/>
  <c r="D15" i="82"/>
  <c r="D16" i="82"/>
  <c r="D17" i="82"/>
  <c r="D18" i="82"/>
  <c r="D19" i="82"/>
  <c r="D20" i="82"/>
  <c r="D21" i="82"/>
  <c r="D22" i="82"/>
  <c r="D23" i="82"/>
  <c r="D24" i="82"/>
  <c r="D25" i="82"/>
  <c r="D26" i="82"/>
  <c r="D27" i="82"/>
  <c r="E25" i="82"/>
  <c r="G47" i="38"/>
  <c r="C25" i="82"/>
  <c r="K14" i="75"/>
  <c r="O22" i="42"/>
  <c r="J3" i="80"/>
  <c r="N21" i="42"/>
  <c r="M21" i="42"/>
  <c r="L21" i="42"/>
  <c r="L43" i="42"/>
  <c r="M2" i="80"/>
  <c r="K21" i="42"/>
  <c r="J21" i="42"/>
  <c r="I21" i="42"/>
  <c r="H131" i="75"/>
  <c r="H21" i="42"/>
  <c r="G21" i="42"/>
  <c r="F21" i="42"/>
  <c r="F43" i="42"/>
  <c r="Q71" i="40"/>
  <c r="Q39" i="85"/>
  <c r="D68" i="83"/>
  <c r="B82" i="83"/>
  <c r="D40" i="83"/>
  <c r="E40" i="83"/>
  <c r="D19" i="83"/>
  <c r="AD6" i="82"/>
  <c r="F67" i="90"/>
  <c r="F66" i="90"/>
  <c r="F65" i="90"/>
  <c r="M48" i="75"/>
  <c r="K48" i="75"/>
  <c r="G48" i="75"/>
  <c r="G44" i="75"/>
  <c r="I43" i="75"/>
  <c r="K45" i="75"/>
  <c r="I47" i="75"/>
  <c r="L49" i="75"/>
  <c r="E40" i="40"/>
  <c r="J2" i="92"/>
  <c r="K2" i="92"/>
  <c r="V68" i="74"/>
  <c r="T68" i="74"/>
  <c r="AC17" i="74"/>
  <c r="C4" i="92"/>
  <c r="D4" i="92"/>
  <c r="C3" i="92"/>
  <c r="D3" i="92"/>
  <c r="E3" i="92"/>
  <c r="G4" i="92"/>
  <c r="H4" i="92"/>
  <c r="I4" i="92"/>
  <c r="G3" i="92"/>
  <c r="H3" i="92"/>
  <c r="I3" i="92"/>
  <c r="F7" i="85"/>
  <c r="G7" i="85"/>
  <c r="H7" i="85"/>
  <c r="I7" i="85"/>
  <c r="J7" i="85"/>
  <c r="K7" i="85"/>
  <c r="L7" i="85"/>
  <c r="M7" i="85"/>
  <c r="N7" i="85"/>
  <c r="O7" i="85"/>
  <c r="P7" i="85"/>
  <c r="F8" i="85"/>
  <c r="G8" i="85"/>
  <c r="H8" i="85"/>
  <c r="I8" i="85"/>
  <c r="J8" i="85"/>
  <c r="K8" i="85"/>
  <c r="L8" i="85"/>
  <c r="M8" i="85"/>
  <c r="N8" i="85"/>
  <c r="O8" i="85"/>
  <c r="P8" i="85"/>
  <c r="F9" i="85"/>
  <c r="G9" i="85"/>
  <c r="H9" i="85"/>
  <c r="I9" i="85"/>
  <c r="J9" i="85"/>
  <c r="K9" i="85"/>
  <c r="L9" i="85"/>
  <c r="M9" i="85"/>
  <c r="N9" i="85"/>
  <c r="O9" i="85"/>
  <c r="P9" i="85"/>
  <c r="J11" i="85"/>
  <c r="L11" i="85"/>
  <c r="F12" i="85"/>
  <c r="G12" i="85"/>
  <c r="H12" i="85"/>
  <c r="I12" i="85"/>
  <c r="J12" i="85"/>
  <c r="K12" i="85"/>
  <c r="L12" i="85"/>
  <c r="M12" i="85"/>
  <c r="N12" i="85"/>
  <c r="O12" i="85"/>
  <c r="P12" i="85"/>
  <c r="F13" i="85"/>
  <c r="G13" i="85"/>
  <c r="H13" i="85"/>
  <c r="I13" i="85"/>
  <c r="J13" i="85"/>
  <c r="K13" i="85"/>
  <c r="L13" i="85"/>
  <c r="M13" i="85"/>
  <c r="N13" i="85"/>
  <c r="O13" i="85"/>
  <c r="P13" i="85"/>
  <c r="F14" i="85"/>
  <c r="G14" i="85"/>
  <c r="H14" i="85"/>
  <c r="I14" i="85"/>
  <c r="J14" i="85"/>
  <c r="K14" i="85"/>
  <c r="L14" i="85"/>
  <c r="M14" i="85"/>
  <c r="N14" i="85"/>
  <c r="O14" i="85"/>
  <c r="P14" i="85"/>
  <c r="F15" i="85"/>
  <c r="G15" i="85"/>
  <c r="H15" i="85"/>
  <c r="I15" i="85"/>
  <c r="J15" i="85"/>
  <c r="K15" i="85"/>
  <c r="L15" i="85"/>
  <c r="M15" i="85"/>
  <c r="N15" i="85"/>
  <c r="O15" i="85"/>
  <c r="P15" i="85"/>
  <c r="F16" i="85"/>
  <c r="G16" i="85"/>
  <c r="H16" i="85"/>
  <c r="I16" i="85"/>
  <c r="J16" i="85"/>
  <c r="K16" i="85"/>
  <c r="L16" i="85"/>
  <c r="M16" i="85"/>
  <c r="N16" i="85"/>
  <c r="O16" i="85"/>
  <c r="P16" i="85"/>
  <c r="F17" i="85"/>
  <c r="G17" i="85"/>
  <c r="H17" i="85"/>
  <c r="I17" i="85"/>
  <c r="J17" i="85"/>
  <c r="K17" i="85"/>
  <c r="L17" i="85"/>
  <c r="M17" i="85"/>
  <c r="N17" i="85"/>
  <c r="O17" i="85"/>
  <c r="P17" i="85"/>
  <c r="F18" i="85"/>
  <c r="G18" i="85"/>
  <c r="H18" i="85"/>
  <c r="I18" i="85"/>
  <c r="J18" i="85"/>
  <c r="K18" i="85"/>
  <c r="L18" i="85"/>
  <c r="M18" i="85"/>
  <c r="N18" i="85"/>
  <c r="O18" i="85"/>
  <c r="P18" i="85"/>
  <c r="F19" i="85"/>
  <c r="G19" i="85"/>
  <c r="H19" i="85"/>
  <c r="I19" i="85"/>
  <c r="J19" i="85"/>
  <c r="K19" i="85"/>
  <c r="L19" i="85"/>
  <c r="M19" i="85"/>
  <c r="N19" i="85"/>
  <c r="O19" i="85"/>
  <c r="P19" i="85"/>
  <c r="F20" i="85"/>
  <c r="G20" i="85"/>
  <c r="H20" i="85"/>
  <c r="I20" i="85"/>
  <c r="J20" i="85"/>
  <c r="K20" i="85"/>
  <c r="L20" i="85"/>
  <c r="M20" i="85"/>
  <c r="N20" i="85"/>
  <c r="O20" i="85"/>
  <c r="P20" i="85"/>
  <c r="F21" i="85"/>
  <c r="G21" i="85"/>
  <c r="H21" i="85"/>
  <c r="I21" i="85"/>
  <c r="J21" i="85"/>
  <c r="K21" i="85"/>
  <c r="L21" i="85"/>
  <c r="M21" i="85"/>
  <c r="N21" i="85"/>
  <c r="O21" i="85"/>
  <c r="P21" i="85"/>
  <c r="F22" i="85"/>
  <c r="G22" i="85"/>
  <c r="H22" i="85"/>
  <c r="I22" i="85"/>
  <c r="J22" i="85"/>
  <c r="K22" i="85"/>
  <c r="L22" i="85"/>
  <c r="M22" i="85"/>
  <c r="N22" i="85"/>
  <c r="O22" i="85"/>
  <c r="P22" i="85"/>
  <c r="F23" i="85"/>
  <c r="G23" i="85"/>
  <c r="H23" i="85"/>
  <c r="I23" i="85"/>
  <c r="J23" i="85"/>
  <c r="K23" i="85"/>
  <c r="L23" i="85"/>
  <c r="M23" i="85"/>
  <c r="N23" i="85"/>
  <c r="O23" i="85"/>
  <c r="P23" i="85"/>
  <c r="F24" i="85"/>
  <c r="G24" i="85"/>
  <c r="H24" i="85"/>
  <c r="I24" i="85"/>
  <c r="J24" i="85"/>
  <c r="K24" i="85"/>
  <c r="L24" i="85"/>
  <c r="M24" i="85"/>
  <c r="N24" i="85"/>
  <c r="O24" i="85"/>
  <c r="P24" i="85"/>
  <c r="F25" i="85"/>
  <c r="G25" i="85"/>
  <c r="H25" i="85"/>
  <c r="I25" i="85"/>
  <c r="J25" i="85"/>
  <c r="K25" i="85"/>
  <c r="L25" i="85"/>
  <c r="M25" i="85"/>
  <c r="N25" i="85"/>
  <c r="O25" i="85"/>
  <c r="P25" i="85"/>
  <c r="H26" i="85"/>
  <c r="I26" i="85"/>
  <c r="F27" i="85"/>
  <c r="G27" i="85"/>
  <c r="H27" i="85"/>
  <c r="I27" i="85"/>
  <c r="J27" i="85"/>
  <c r="K27" i="85"/>
  <c r="L27" i="85"/>
  <c r="M27" i="85"/>
  <c r="N27" i="85"/>
  <c r="O27" i="85"/>
  <c r="P27" i="85"/>
  <c r="F28" i="85"/>
  <c r="G28" i="85"/>
  <c r="H28" i="85"/>
  <c r="I28" i="85"/>
  <c r="J28" i="85"/>
  <c r="K28" i="85"/>
  <c r="L28" i="85"/>
  <c r="M28" i="85"/>
  <c r="N28" i="85"/>
  <c r="O28" i="85"/>
  <c r="P28" i="85"/>
  <c r="F29" i="85"/>
  <c r="G29" i="85"/>
  <c r="H29" i="85"/>
  <c r="I29" i="85"/>
  <c r="J29" i="85"/>
  <c r="K29" i="85"/>
  <c r="L29" i="85"/>
  <c r="M29" i="85"/>
  <c r="N29" i="85"/>
  <c r="O29" i="85"/>
  <c r="P29" i="85"/>
  <c r="F30" i="85"/>
  <c r="G30" i="85"/>
  <c r="H30" i="85"/>
  <c r="I30" i="85"/>
  <c r="J30" i="85"/>
  <c r="K30" i="85"/>
  <c r="L30" i="85"/>
  <c r="M30" i="85"/>
  <c r="N30" i="85"/>
  <c r="O30" i="85"/>
  <c r="P30" i="85"/>
  <c r="F31" i="85"/>
  <c r="G31" i="85"/>
  <c r="H31" i="85"/>
  <c r="I31" i="85"/>
  <c r="J31" i="85"/>
  <c r="K31" i="85"/>
  <c r="L31" i="85"/>
  <c r="M31" i="85"/>
  <c r="N31" i="85"/>
  <c r="O31" i="85"/>
  <c r="P31" i="85"/>
  <c r="F32" i="85"/>
  <c r="G32" i="85"/>
  <c r="H32" i="85"/>
  <c r="I32" i="85"/>
  <c r="J32" i="85"/>
  <c r="K32" i="85"/>
  <c r="L32" i="85"/>
  <c r="M32" i="85"/>
  <c r="N32" i="85"/>
  <c r="O32" i="85"/>
  <c r="P32" i="85"/>
  <c r="F33" i="85"/>
  <c r="G33" i="85"/>
  <c r="H33" i="85"/>
  <c r="I33" i="85"/>
  <c r="J33" i="85"/>
  <c r="K33" i="85"/>
  <c r="L33" i="85"/>
  <c r="M33" i="85"/>
  <c r="N33" i="85"/>
  <c r="O33" i="85"/>
  <c r="P33" i="85"/>
  <c r="F35" i="85"/>
  <c r="G35" i="85"/>
  <c r="H35" i="85"/>
  <c r="I35" i="85"/>
  <c r="J35" i="85"/>
  <c r="K35" i="85"/>
  <c r="L35" i="85"/>
  <c r="M35" i="85"/>
  <c r="N35" i="85"/>
  <c r="O35" i="85"/>
  <c r="P35" i="85"/>
  <c r="F36" i="85"/>
  <c r="G36" i="85"/>
  <c r="H36" i="85"/>
  <c r="I36" i="85"/>
  <c r="J36" i="85"/>
  <c r="K36" i="85"/>
  <c r="L36" i="85"/>
  <c r="M36" i="85"/>
  <c r="N36" i="85"/>
  <c r="O36" i="85"/>
  <c r="P36" i="85"/>
  <c r="F37" i="85"/>
  <c r="G37" i="85"/>
  <c r="H37" i="85"/>
  <c r="I37" i="85"/>
  <c r="J37" i="85"/>
  <c r="K37" i="85"/>
  <c r="L37" i="85"/>
  <c r="M37" i="85"/>
  <c r="N37" i="85"/>
  <c r="O37" i="85"/>
  <c r="P37" i="85"/>
  <c r="F38" i="85"/>
  <c r="G38" i="85"/>
  <c r="H38" i="85"/>
  <c r="I38" i="85"/>
  <c r="J38" i="85"/>
  <c r="K38" i="85"/>
  <c r="L38" i="85"/>
  <c r="M38" i="85"/>
  <c r="N38" i="85"/>
  <c r="O38" i="85"/>
  <c r="P38" i="85"/>
  <c r="F40" i="85"/>
  <c r="G40" i="85"/>
  <c r="H40" i="85"/>
  <c r="I40" i="85"/>
  <c r="J40" i="85"/>
  <c r="K40" i="85"/>
  <c r="L40" i="85"/>
  <c r="M40" i="85"/>
  <c r="N40" i="85"/>
  <c r="O40" i="85"/>
  <c r="P40" i="85"/>
  <c r="F41" i="85"/>
  <c r="G41" i="85"/>
  <c r="H41" i="85"/>
  <c r="I41" i="85"/>
  <c r="J41" i="85"/>
  <c r="K41" i="85"/>
  <c r="L41" i="85"/>
  <c r="M41" i="85"/>
  <c r="N41" i="85"/>
  <c r="O41" i="85"/>
  <c r="P41" i="85"/>
  <c r="F42" i="85"/>
  <c r="G42" i="85"/>
  <c r="H42" i="85"/>
  <c r="I42" i="85"/>
  <c r="J42" i="85"/>
  <c r="K42" i="85"/>
  <c r="L42" i="85"/>
  <c r="M42" i="85"/>
  <c r="N42" i="85"/>
  <c r="O42" i="85"/>
  <c r="P42" i="85"/>
  <c r="F43" i="85"/>
  <c r="G43" i="85"/>
  <c r="H43" i="85"/>
  <c r="I43" i="85"/>
  <c r="J43" i="85"/>
  <c r="K43" i="85"/>
  <c r="L43" i="85"/>
  <c r="M43" i="85"/>
  <c r="N43" i="85"/>
  <c r="O43" i="85"/>
  <c r="P43" i="85"/>
  <c r="F44" i="85"/>
  <c r="G44" i="85"/>
  <c r="H44" i="85"/>
  <c r="I44" i="85"/>
  <c r="J44" i="85"/>
  <c r="K44" i="85"/>
  <c r="L44" i="85"/>
  <c r="M44" i="85"/>
  <c r="N44" i="85"/>
  <c r="O44" i="85"/>
  <c r="P44" i="85"/>
  <c r="F45" i="85"/>
  <c r="G45" i="85"/>
  <c r="H45" i="85"/>
  <c r="I45" i="85"/>
  <c r="J45" i="85"/>
  <c r="K45" i="85"/>
  <c r="L45" i="85"/>
  <c r="M45" i="85"/>
  <c r="N45" i="85"/>
  <c r="O45" i="85"/>
  <c r="P45" i="85"/>
  <c r="F46" i="85"/>
  <c r="G46" i="85"/>
  <c r="H46" i="85"/>
  <c r="I46" i="85"/>
  <c r="J46" i="85"/>
  <c r="K46" i="85"/>
  <c r="L46" i="85"/>
  <c r="M46" i="85"/>
  <c r="N46" i="85"/>
  <c r="O46" i="85"/>
  <c r="P46" i="85"/>
  <c r="F47" i="85"/>
  <c r="G47" i="85"/>
  <c r="H47" i="85"/>
  <c r="I47" i="85"/>
  <c r="J47" i="85"/>
  <c r="K47" i="85"/>
  <c r="L47" i="85"/>
  <c r="M47" i="85"/>
  <c r="N47" i="85"/>
  <c r="O47" i="85"/>
  <c r="P47" i="85"/>
  <c r="F48" i="85"/>
  <c r="G48" i="85"/>
  <c r="H48" i="85"/>
  <c r="I48" i="85"/>
  <c r="J48" i="85"/>
  <c r="K48" i="85"/>
  <c r="L48" i="85"/>
  <c r="M48" i="85"/>
  <c r="N48" i="85"/>
  <c r="O48" i="85"/>
  <c r="P48" i="85"/>
  <c r="F49" i="85"/>
  <c r="G49" i="85"/>
  <c r="H49" i="85"/>
  <c r="I49" i="85"/>
  <c r="J49" i="85"/>
  <c r="K49" i="85"/>
  <c r="L49" i="85"/>
  <c r="M49" i="85"/>
  <c r="N49" i="85"/>
  <c r="O49" i="85"/>
  <c r="P49" i="85"/>
  <c r="F50" i="85"/>
  <c r="G50" i="85"/>
  <c r="H50" i="85"/>
  <c r="I50" i="85"/>
  <c r="J50" i="85"/>
  <c r="K50" i="85"/>
  <c r="L50" i="85"/>
  <c r="M50" i="85"/>
  <c r="N50" i="85"/>
  <c r="O50" i="85"/>
  <c r="P50" i="85"/>
  <c r="F51" i="85"/>
  <c r="G51" i="85"/>
  <c r="H51" i="85"/>
  <c r="I51" i="85"/>
  <c r="J51" i="85"/>
  <c r="K51" i="85"/>
  <c r="L51" i="85"/>
  <c r="M51" i="85"/>
  <c r="N51" i="85"/>
  <c r="O51" i="85"/>
  <c r="P51" i="85"/>
  <c r="F52" i="85"/>
  <c r="G52" i="85"/>
  <c r="H52" i="85"/>
  <c r="I52" i="85"/>
  <c r="J52" i="85"/>
  <c r="K52" i="85"/>
  <c r="L52" i="85"/>
  <c r="M52" i="85"/>
  <c r="N52" i="85"/>
  <c r="O52" i="85"/>
  <c r="P52" i="85"/>
  <c r="F53" i="85"/>
  <c r="G53" i="85"/>
  <c r="H53" i="85"/>
  <c r="I53" i="85"/>
  <c r="J53" i="85"/>
  <c r="K53" i="85"/>
  <c r="L53" i="85"/>
  <c r="M53" i="85"/>
  <c r="N53" i="85"/>
  <c r="O53" i="85"/>
  <c r="P53" i="85"/>
  <c r="F54" i="85"/>
  <c r="G54" i="85"/>
  <c r="H54" i="85"/>
  <c r="I54" i="85"/>
  <c r="J54" i="85"/>
  <c r="K54" i="85"/>
  <c r="L54" i="85"/>
  <c r="M54" i="85"/>
  <c r="N54" i="85"/>
  <c r="O54" i="85"/>
  <c r="P54" i="85"/>
  <c r="F55" i="85"/>
  <c r="G55" i="85"/>
  <c r="H55" i="85"/>
  <c r="I55" i="85"/>
  <c r="J55" i="85"/>
  <c r="K55" i="85"/>
  <c r="L55" i="85"/>
  <c r="M55" i="85"/>
  <c r="N55" i="85"/>
  <c r="O55" i="85"/>
  <c r="P55" i="85"/>
  <c r="F57" i="85"/>
  <c r="H57" i="85"/>
  <c r="I57" i="85"/>
  <c r="J57" i="85"/>
  <c r="K57" i="85"/>
  <c r="L57" i="85"/>
  <c r="M57" i="85"/>
  <c r="N57" i="85"/>
  <c r="O57" i="85"/>
  <c r="P57" i="85"/>
  <c r="F58" i="85"/>
  <c r="G58" i="85"/>
  <c r="H58" i="85"/>
  <c r="I58" i="85"/>
  <c r="J58" i="85"/>
  <c r="K58" i="85"/>
  <c r="L58" i="85"/>
  <c r="M58" i="85"/>
  <c r="N58" i="85"/>
  <c r="O58" i="85"/>
  <c r="P58" i="85"/>
  <c r="F59" i="85"/>
  <c r="G59" i="85"/>
  <c r="H59" i="85"/>
  <c r="I59" i="85"/>
  <c r="J59" i="85"/>
  <c r="K59" i="85"/>
  <c r="L59" i="85"/>
  <c r="M59" i="85"/>
  <c r="N59" i="85"/>
  <c r="O59" i="85"/>
  <c r="P59" i="85"/>
  <c r="C60" i="85"/>
  <c r="D60" i="85"/>
  <c r="F60" i="85"/>
  <c r="G60" i="85"/>
  <c r="H60" i="85"/>
  <c r="I60" i="85"/>
  <c r="J60" i="85"/>
  <c r="K60" i="85"/>
  <c r="L60" i="85"/>
  <c r="M60" i="85"/>
  <c r="N60" i="85"/>
  <c r="O60" i="85"/>
  <c r="P60" i="85"/>
  <c r="F5" i="85"/>
  <c r="G5" i="85"/>
  <c r="H5" i="85"/>
  <c r="I5" i="85"/>
  <c r="J5" i="85"/>
  <c r="K5" i="85"/>
  <c r="L5" i="85"/>
  <c r="M5" i="85"/>
  <c r="N5" i="85"/>
  <c r="O5" i="85"/>
  <c r="P5" i="85"/>
  <c r="E9" i="82"/>
  <c r="E10" i="82"/>
  <c r="E11" i="82"/>
  <c r="E12" i="82"/>
  <c r="E13" i="82"/>
  <c r="E14" i="82"/>
  <c r="E15" i="82"/>
  <c r="E16" i="82"/>
  <c r="E17" i="82"/>
  <c r="E18" i="82"/>
  <c r="E19" i="82"/>
  <c r="E20" i="82"/>
  <c r="E21" i="82"/>
  <c r="E22" i="82"/>
  <c r="E23" i="82"/>
  <c r="E24" i="82"/>
  <c r="E26" i="82"/>
  <c r="E27" i="82"/>
  <c r="B9" i="82"/>
  <c r="B10" i="82"/>
  <c r="B11" i="82"/>
  <c r="B12" i="82"/>
  <c r="B13" i="82"/>
  <c r="B14" i="82"/>
  <c r="B15" i="82"/>
  <c r="B16" i="82"/>
  <c r="B17" i="82"/>
  <c r="B18" i="82"/>
  <c r="B19" i="82"/>
  <c r="B20" i="82"/>
  <c r="B21" i="82"/>
  <c r="B22" i="82"/>
  <c r="B23" i="82"/>
  <c r="B24" i="82"/>
  <c r="B25" i="82"/>
  <c r="B26" i="82"/>
  <c r="B27" i="82"/>
  <c r="J3" i="86"/>
  <c r="I3" i="86"/>
  <c r="G3" i="86"/>
  <c r="K5" i="86"/>
  <c r="J9" i="86"/>
  <c r="J5" i="86"/>
  <c r="I5" i="86"/>
  <c r="B31" i="90"/>
  <c r="B30" i="90"/>
  <c r="B29" i="90"/>
  <c r="B28" i="90"/>
  <c r="B27" i="90"/>
  <c r="B26" i="90"/>
  <c r="B24" i="90"/>
  <c r="I72" i="75"/>
  <c r="K69" i="74"/>
  <c r="K67" i="74"/>
  <c r="H15" i="75"/>
  <c r="G16" i="75"/>
  <c r="F14" i="75"/>
  <c r="V7" i="98"/>
  <c r="V8" i="98"/>
  <c r="H30" i="38"/>
  <c r="H29" i="38"/>
  <c r="F30" i="38"/>
  <c r="B8" i="82"/>
  <c r="F54" i="90"/>
  <c r="F52" i="90"/>
  <c r="F50" i="90"/>
  <c r="D30" i="88"/>
  <c r="D4" i="88"/>
  <c r="H48" i="75"/>
  <c r="J12" i="75"/>
  <c r="O30" i="38"/>
  <c r="E8" i="82"/>
  <c r="D86" i="40"/>
  <c r="C54" i="85"/>
  <c r="E86" i="40"/>
  <c r="D54" i="85"/>
  <c r="R68" i="74"/>
  <c r="R71" i="74"/>
  <c r="AD21" i="74"/>
  <c r="L68" i="74"/>
  <c r="G121" i="75"/>
  <c r="F9" i="86"/>
  <c r="E9" i="86"/>
  <c r="D9" i="86"/>
  <c r="C9" i="86"/>
  <c r="B9" i="86"/>
  <c r="A9" i="86"/>
  <c r="L74" i="75"/>
  <c r="K52" i="74"/>
  <c r="AE23" i="74"/>
  <c r="AE15" i="74"/>
  <c r="AE14" i="74"/>
  <c r="AE11" i="74"/>
  <c r="G22" i="74"/>
  <c r="K46" i="74"/>
  <c r="K44" i="74"/>
  <c r="H46" i="74"/>
  <c r="AC15" i="74"/>
  <c r="AC13" i="74"/>
  <c r="K45" i="74"/>
  <c r="Q68" i="74"/>
  <c r="F45" i="74"/>
  <c r="AC14" i="74"/>
  <c r="B51" i="74"/>
  <c r="B52" i="74"/>
  <c r="B50" i="74"/>
  <c r="A51" i="74"/>
  <c r="A52" i="74"/>
  <c r="A50" i="74"/>
  <c r="B46" i="74"/>
  <c r="B45" i="74"/>
  <c r="A45" i="74"/>
  <c r="A46" i="74"/>
  <c r="B44" i="74"/>
  <c r="C44" i="74"/>
  <c r="D44" i="74"/>
  <c r="A44" i="74"/>
  <c r="F11" i="74"/>
  <c r="M11" i="74"/>
  <c r="AD12" i="74"/>
  <c r="R12" i="74"/>
  <c r="R11" i="74"/>
  <c r="M12" i="74"/>
  <c r="K48" i="74"/>
  <c r="G39" i="74"/>
  <c r="K39" i="74"/>
  <c r="F39" i="74"/>
  <c r="H39" i="74"/>
  <c r="J39" i="74"/>
  <c r="AD20" i="74"/>
  <c r="AD19" i="74"/>
  <c r="D50" i="40"/>
  <c r="C18" i="85"/>
  <c r="E50" i="40"/>
  <c r="D18" i="85"/>
  <c r="D47" i="40"/>
  <c r="C15" i="85"/>
  <c r="E47" i="40"/>
  <c r="D15" i="85"/>
  <c r="D48" i="40"/>
  <c r="C16" i="85"/>
  <c r="E48" i="40"/>
  <c r="D16" i="85"/>
  <c r="N11" i="85"/>
  <c r="H43" i="40"/>
  <c r="H42" i="40"/>
  <c r="G35" i="38"/>
  <c r="F28" i="90"/>
  <c r="Q28" i="90"/>
  <c r="G36" i="38"/>
  <c r="F29" i="90"/>
  <c r="G37" i="38"/>
  <c r="C15" i="82"/>
  <c r="G38" i="38"/>
  <c r="D17" i="83"/>
  <c r="D16" i="83"/>
  <c r="D15" i="83"/>
  <c r="B91" i="83"/>
  <c r="B92" i="83"/>
  <c r="B93" i="83"/>
  <c r="B87" i="83"/>
  <c r="B83" i="83"/>
  <c r="B86" i="83"/>
  <c r="F62" i="83"/>
  <c r="E62" i="83"/>
  <c r="F64" i="83"/>
  <c r="E64" i="83"/>
  <c r="F61" i="83"/>
  <c r="E61" i="83"/>
  <c r="E58" i="83"/>
  <c r="F58" i="83"/>
  <c r="G67" i="83"/>
  <c r="D67" i="83"/>
  <c r="F57" i="83"/>
  <c r="F56" i="83"/>
  <c r="G52" i="83"/>
  <c r="E11" i="83"/>
  <c r="D11" i="83"/>
  <c r="E34" i="83"/>
  <c r="D34" i="83"/>
  <c r="B78" i="83"/>
  <c r="E43" i="83"/>
  <c r="D43" i="83"/>
  <c r="E39" i="83"/>
  <c r="D39" i="83"/>
  <c r="E35" i="83"/>
  <c r="D35" i="83"/>
  <c r="P6" i="82"/>
  <c r="O6" i="82"/>
  <c r="B30" i="82"/>
  <c r="D30" i="82"/>
  <c r="F30" i="82"/>
  <c r="G30" i="82"/>
  <c r="H30" i="82"/>
  <c r="I30" i="82"/>
  <c r="J30" i="82"/>
  <c r="K30" i="82"/>
  <c r="E30" i="82"/>
  <c r="B31" i="82"/>
  <c r="D31" i="82"/>
  <c r="F31" i="82"/>
  <c r="G31" i="82"/>
  <c r="H31" i="82"/>
  <c r="I31" i="82"/>
  <c r="J31" i="82"/>
  <c r="K31" i="82"/>
  <c r="E31" i="82"/>
  <c r="B32" i="82"/>
  <c r="D32" i="82"/>
  <c r="F32" i="82"/>
  <c r="G32" i="82"/>
  <c r="H32" i="82"/>
  <c r="I32" i="82"/>
  <c r="J32" i="82"/>
  <c r="K32" i="82"/>
  <c r="E32" i="82"/>
  <c r="B34" i="82"/>
  <c r="D34" i="82"/>
  <c r="F34" i="82"/>
  <c r="G34" i="82"/>
  <c r="H34" i="82"/>
  <c r="I34" i="82"/>
  <c r="J34" i="82"/>
  <c r="K34" i="82"/>
  <c r="E34" i="82"/>
  <c r="B35" i="82"/>
  <c r="D35" i="82"/>
  <c r="F35" i="82"/>
  <c r="G35" i="82"/>
  <c r="H35" i="82"/>
  <c r="I35" i="82"/>
  <c r="J35" i="82"/>
  <c r="K35" i="82"/>
  <c r="E35" i="82"/>
  <c r="B36" i="82"/>
  <c r="D36" i="82"/>
  <c r="F36" i="82"/>
  <c r="G36" i="82"/>
  <c r="H36" i="82"/>
  <c r="I36" i="82"/>
  <c r="J36" i="82"/>
  <c r="K36" i="82"/>
  <c r="E36" i="82"/>
  <c r="B37" i="82"/>
  <c r="D37" i="82"/>
  <c r="F37" i="82"/>
  <c r="G37" i="82"/>
  <c r="H37" i="82"/>
  <c r="I37" i="82"/>
  <c r="J37" i="82"/>
  <c r="K37" i="82"/>
  <c r="E37" i="82"/>
  <c r="B39" i="82"/>
  <c r="D39" i="82"/>
  <c r="F39" i="82"/>
  <c r="G39" i="82"/>
  <c r="H39" i="82"/>
  <c r="I39" i="82"/>
  <c r="J39" i="82"/>
  <c r="K39" i="82"/>
  <c r="E39" i="82"/>
  <c r="B40" i="82"/>
  <c r="D40" i="82"/>
  <c r="F40" i="82"/>
  <c r="G40" i="82"/>
  <c r="H40" i="82"/>
  <c r="I40" i="82"/>
  <c r="J40" i="82"/>
  <c r="K40" i="82"/>
  <c r="E40" i="82"/>
  <c r="F6" i="82"/>
  <c r="H6" i="82"/>
  <c r="X6" i="82"/>
  <c r="Y6" i="82"/>
  <c r="AA6" i="82"/>
  <c r="AC6" i="82"/>
  <c r="B6" i="82"/>
  <c r="C41" i="81"/>
  <c r="B41" i="81"/>
  <c r="K3" i="80"/>
  <c r="L3" i="80"/>
  <c r="M3" i="80"/>
  <c r="N3" i="80"/>
  <c r="K4" i="80"/>
  <c r="L4" i="80"/>
  <c r="M4" i="80"/>
  <c r="N4" i="80"/>
  <c r="K5" i="80"/>
  <c r="L5" i="80"/>
  <c r="M5" i="80"/>
  <c r="N5" i="80"/>
  <c r="I18" i="80"/>
  <c r="H18" i="80"/>
  <c r="G18" i="80"/>
  <c r="F18" i="80"/>
  <c r="E18" i="80"/>
  <c r="D18" i="80"/>
  <c r="C18" i="80"/>
  <c r="I17" i="80"/>
  <c r="H17" i="80"/>
  <c r="G17" i="80"/>
  <c r="F17" i="80"/>
  <c r="E17" i="80"/>
  <c r="D17" i="80"/>
  <c r="C17" i="80"/>
  <c r="I16" i="80"/>
  <c r="H16" i="80"/>
  <c r="D16" i="80"/>
  <c r="C16" i="80"/>
  <c r="I15" i="80"/>
  <c r="H15" i="80"/>
  <c r="D15" i="80"/>
  <c r="C15" i="80"/>
  <c r="I14" i="80"/>
  <c r="H14" i="80"/>
  <c r="G14" i="80"/>
  <c r="F14" i="80"/>
  <c r="E14" i="80"/>
  <c r="D14" i="80"/>
  <c r="C14" i="80"/>
  <c r="I11" i="80"/>
  <c r="H11" i="80"/>
  <c r="G11" i="80"/>
  <c r="F11" i="80"/>
  <c r="E11" i="80"/>
  <c r="D11" i="80"/>
  <c r="C11" i="80"/>
  <c r="I10" i="80"/>
  <c r="H10" i="80"/>
  <c r="G10" i="80"/>
  <c r="F10" i="80"/>
  <c r="E10" i="80"/>
  <c r="D10" i="80"/>
  <c r="C10" i="80"/>
  <c r="I9" i="80"/>
  <c r="H9" i="80"/>
  <c r="D9" i="80"/>
  <c r="C9" i="80"/>
  <c r="G7" i="80"/>
  <c r="I8" i="80"/>
  <c r="H8" i="80"/>
  <c r="D8" i="80"/>
  <c r="C8" i="80"/>
  <c r="I7" i="80"/>
  <c r="H7" i="80"/>
  <c r="F7" i="80"/>
  <c r="E7" i="80"/>
  <c r="D7" i="80"/>
  <c r="C7" i="80"/>
  <c r="C3" i="80"/>
  <c r="D3" i="80"/>
  <c r="E3" i="80"/>
  <c r="F3" i="80"/>
  <c r="G3" i="80"/>
  <c r="H3" i="80"/>
  <c r="C4" i="80"/>
  <c r="D4" i="80"/>
  <c r="E4" i="80"/>
  <c r="F4" i="80"/>
  <c r="G4" i="80"/>
  <c r="H4" i="80"/>
  <c r="C5" i="80"/>
  <c r="D5" i="80"/>
  <c r="E5" i="80"/>
  <c r="F5" i="80"/>
  <c r="G5" i="80"/>
  <c r="H5" i="80"/>
  <c r="C1" i="17"/>
  <c r="E1" i="17"/>
  <c r="F12" i="40"/>
  <c r="D1" i="15"/>
  <c r="H1" i="15"/>
  <c r="E1" i="74"/>
  <c r="G1" i="74"/>
  <c r="B3" i="74"/>
  <c r="N8" i="74"/>
  <c r="T8" i="74"/>
  <c r="AC8" i="74"/>
  <c r="AC64" i="75"/>
  <c r="Y64" i="75"/>
  <c r="O8" i="74"/>
  <c r="V8" i="74"/>
  <c r="AD8" i="74"/>
  <c r="P8" i="74"/>
  <c r="X8" i="74"/>
  <c r="AE8" i="74"/>
  <c r="Q8" i="74"/>
  <c r="Z8" i="74"/>
  <c r="AF8" i="74"/>
  <c r="AD11" i="74"/>
  <c r="AF11" i="74"/>
  <c r="AF12" i="74"/>
  <c r="G13" i="74"/>
  <c r="G10" i="74"/>
  <c r="I13" i="74"/>
  <c r="I10" i="74"/>
  <c r="Z65" i="75"/>
  <c r="K13" i="74"/>
  <c r="K10" i="74"/>
  <c r="AA65" i="75"/>
  <c r="L13" i="74"/>
  <c r="L10" i="74"/>
  <c r="AB65" i="75"/>
  <c r="F14" i="74"/>
  <c r="M14" i="74"/>
  <c r="T66" i="74"/>
  <c r="R14" i="74"/>
  <c r="AD14" i="74"/>
  <c r="AF14" i="74"/>
  <c r="F15" i="74"/>
  <c r="M15" i="74"/>
  <c r="R15" i="74"/>
  <c r="AD15" i="74"/>
  <c r="AF15" i="74"/>
  <c r="AF13" i="74"/>
  <c r="F17" i="74"/>
  <c r="M17" i="74"/>
  <c r="AG22" i="74"/>
  <c r="R17" i="74"/>
  <c r="S17" i="74"/>
  <c r="AD17" i="74"/>
  <c r="AJ22" i="74"/>
  <c r="AE17" i="74"/>
  <c r="AF17" i="74"/>
  <c r="M20" i="74"/>
  <c r="R20" i="74"/>
  <c r="AF20" i="74"/>
  <c r="M21" i="74"/>
  <c r="AF21" i="74"/>
  <c r="I22" i="74"/>
  <c r="I19" i="74"/>
  <c r="K22" i="74"/>
  <c r="K19" i="74"/>
  <c r="L22" i="74"/>
  <c r="L19" i="74"/>
  <c r="AH22" i="74"/>
  <c r="AI22" i="74"/>
  <c r="F23" i="74"/>
  <c r="M23" i="74"/>
  <c r="Q84" i="75"/>
  <c r="R23" i="74"/>
  <c r="AD23" i="74"/>
  <c r="AF23" i="74"/>
  <c r="F24" i="74"/>
  <c r="M24" i="74"/>
  <c r="AD24" i="74"/>
  <c r="F26" i="74"/>
  <c r="H10" i="75"/>
  <c r="M26" i="74"/>
  <c r="K10" i="75"/>
  <c r="AD26" i="74"/>
  <c r="S77" i="75"/>
  <c r="AE26" i="74"/>
  <c r="T77" i="75"/>
  <c r="AF26" i="74"/>
  <c r="U77" i="75"/>
  <c r="R28" i="74"/>
  <c r="S28" i="74"/>
  <c r="K31" i="74"/>
  <c r="K32" i="74"/>
  <c r="W31" i="74"/>
  <c r="Z31" i="74"/>
  <c r="E62" i="74"/>
  <c r="B65" i="74"/>
  <c r="E65" i="74"/>
  <c r="F65" i="74"/>
  <c r="G65" i="74"/>
  <c r="I65" i="74"/>
  <c r="K65" i="74"/>
  <c r="L65" i="74"/>
  <c r="M65" i="74"/>
  <c r="N65" i="74"/>
  <c r="O65" i="74"/>
  <c r="P65" i="74"/>
  <c r="R66" i="74"/>
  <c r="K70" i="74"/>
  <c r="Q98" i="74"/>
  <c r="K71" i="74"/>
  <c r="J69" i="75"/>
  <c r="L71" i="74"/>
  <c r="Q71" i="74"/>
  <c r="T71" i="74"/>
  <c r="V71" i="74"/>
  <c r="I94" i="74"/>
  <c r="E96" i="74"/>
  <c r="E98" i="74"/>
  <c r="F98" i="74"/>
  <c r="N98" i="74"/>
  <c r="B99" i="74"/>
  <c r="E99" i="74"/>
  <c r="I99" i="74"/>
  <c r="K99" i="74"/>
  <c r="N99" i="74"/>
  <c r="N69" i="75"/>
  <c r="O99" i="74"/>
  <c r="D2" i="47"/>
  <c r="F2" i="47"/>
  <c r="A4" i="47"/>
  <c r="D47" i="47"/>
  <c r="A48" i="47"/>
  <c r="D48" i="47"/>
  <c r="AJ20" i="74"/>
  <c r="D91" i="83"/>
  <c r="D93" i="83"/>
  <c r="D2" i="42"/>
  <c r="F2" i="42"/>
  <c r="A6" i="42"/>
  <c r="K6" i="42"/>
  <c r="M6" i="42"/>
  <c r="B14" i="80"/>
  <c r="B18" i="80"/>
  <c r="B11" i="80"/>
  <c r="F13" i="80"/>
  <c r="G135" i="75"/>
  <c r="G6" i="80"/>
  <c r="I13" i="80"/>
  <c r="I6" i="80"/>
  <c r="D1" i="40"/>
  <c r="I1" i="40"/>
  <c r="A3" i="40"/>
  <c r="A4" i="42"/>
  <c r="F8" i="40"/>
  <c r="B3" i="92"/>
  <c r="F15" i="40"/>
  <c r="F41" i="83"/>
  <c r="E44" i="83"/>
  <c r="D44" i="83"/>
  <c r="E45" i="83"/>
  <c r="D45" i="83"/>
  <c r="T19" i="38"/>
  <c r="AB6" i="82"/>
  <c r="F22" i="40"/>
  <c r="G96" i="74"/>
  <c r="M96" i="74"/>
  <c r="F29" i="40"/>
  <c r="G31" i="40"/>
  <c r="H29" i="40"/>
  <c r="D39" i="40"/>
  <c r="C7" i="85"/>
  <c r="D40" i="40"/>
  <c r="C8" i="85"/>
  <c r="D41" i="40"/>
  <c r="C9" i="85"/>
  <c r="E41" i="40"/>
  <c r="D44" i="40"/>
  <c r="C12" i="85"/>
  <c r="D49" i="40"/>
  <c r="C17" i="85"/>
  <c r="D45" i="40"/>
  <c r="C13" i="85"/>
  <c r="E45" i="40"/>
  <c r="D46" i="40"/>
  <c r="C14" i="85"/>
  <c r="E46" i="40"/>
  <c r="D14" i="85"/>
  <c r="D51" i="40"/>
  <c r="C19" i="85"/>
  <c r="E51" i="40"/>
  <c r="D19" i="85"/>
  <c r="D53" i="40"/>
  <c r="C21" i="85"/>
  <c r="E53" i="40"/>
  <c r="D21" i="85"/>
  <c r="D54" i="40"/>
  <c r="C22" i="85"/>
  <c r="E54" i="40"/>
  <c r="D61" i="83"/>
  <c r="H61" i="83"/>
  <c r="D55" i="40"/>
  <c r="C23" i="85"/>
  <c r="E55" i="40"/>
  <c r="D56" i="40"/>
  <c r="C24" i="85"/>
  <c r="E56" i="40"/>
  <c r="D24" i="85"/>
  <c r="D57" i="40"/>
  <c r="C25" i="85"/>
  <c r="E57" i="40"/>
  <c r="D25" i="85"/>
  <c r="F58" i="40"/>
  <c r="F26" i="85"/>
  <c r="G58" i="40"/>
  <c r="J58" i="40"/>
  <c r="J42" i="40"/>
  <c r="J10" i="85"/>
  <c r="K58" i="40"/>
  <c r="K26" i="85"/>
  <c r="L58" i="40"/>
  <c r="L42" i="40"/>
  <c r="M58" i="40"/>
  <c r="N58" i="40"/>
  <c r="N26" i="85"/>
  <c r="O58" i="40"/>
  <c r="K36" i="90"/>
  <c r="P58" i="40"/>
  <c r="Q58" i="40"/>
  <c r="Q42" i="40"/>
  <c r="D59" i="40"/>
  <c r="C27" i="85"/>
  <c r="E59" i="40"/>
  <c r="D27" i="85"/>
  <c r="D60" i="40"/>
  <c r="C28" i="85"/>
  <c r="E60" i="40"/>
  <c r="D28" i="85"/>
  <c r="D61" i="40"/>
  <c r="C29" i="85"/>
  <c r="E61" i="40"/>
  <c r="D29" i="85"/>
  <c r="D62" i="40"/>
  <c r="C30" i="85"/>
  <c r="E62" i="40"/>
  <c r="D30" i="85"/>
  <c r="D63" i="40"/>
  <c r="C31" i="85"/>
  <c r="E63" i="40"/>
  <c r="D31" i="85"/>
  <c r="D64" i="40"/>
  <c r="C32" i="85"/>
  <c r="E64" i="40"/>
  <c r="D32" i="85"/>
  <c r="D65" i="40"/>
  <c r="C33" i="85"/>
  <c r="E65" i="40"/>
  <c r="D64" i="83"/>
  <c r="H64" i="83"/>
  <c r="D67" i="40"/>
  <c r="C35" i="85"/>
  <c r="E67" i="40"/>
  <c r="D35" i="85"/>
  <c r="D68" i="40"/>
  <c r="C36" i="85"/>
  <c r="E68" i="40"/>
  <c r="D36" i="85"/>
  <c r="D70" i="40"/>
  <c r="C38" i="85"/>
  <c r="E70" i="40"/>
  <c r="D38" i="85"/>
  <c r="F71" i="40"/>
  <c r="F39" i="85"/>
  <c r="G71" i="40"/>
  <c r="H71" i="40"/>
  <c r="I71" i="40"/>
  <c r="I66" i="40"/>
  <c r="I34" i="85"/>
  <c r="J71" i="40"/>
  <c r="J39" i="85"/>
  <c r="K71" i="40"/>
  <c r="K66" i="40"/>
  <c r="K34" i="85"/>
  <c r="L71" i="40"/>
  <c r="M71" i="40"/>
  <c r="M66" i="40"/>
  <c r="M34" i="85"/>
  <c r="N71" i="40"/>
  <c r="O71" i="40"/>
  <c r="O39" i="85"/>
  <c r="P71" i="40"/>
  <c r="P66" i="40"/>
  <c r="P34" i="85"/>
  <c r="D72" i="40"/>
  <c r="C40" i="85"/>
  <c r="E72" i="40"/>
  <c r="D40" i="85"/>
  <c r="D73" i="40"/>
  <c r="C41" i="85"/>
  <c r="E73" i="40"/>
  <c r="D41" i="85"/>
  <c r="D74" i="40"/>
  <c r="C42" i="85"/>
  <c r="E74" i="40"/>
  <c r="D42" i="85"/>
  <c r="D75" i="40"/>
  <c r="C43" i="85"/>
  <c r="E75" i="40"/>
  <c r="D43" i="85"/>
  <c r="D76" i="40"/>
  <c r="C44" i="85"/>
  <c r="E76" i="40"/>
  <c r="D44" i="85"/>
  <c r="D77" i="40"/>
  <c r="C45" i="85"/>
  <c r="E77" i="40"/>
  <c r="D45" i="85"/>
  <c r="D78" i="40"/>
  <c r="C46" i="85"/>
  <c r="E78" i="40"/>
  <c r="D46" i="85"/>
  <c r="D79" i="40"/>
  <c r="C47" i="85"/>
  <c r="E79" i="40"/>
  <c r="D47" i="85"/>
  <c r="D80" i="40"/>
  <c r="C48" i="85"/>
  <c r="E80" i="40"/>
  <c r="D48" i="85"/>
  <c r="D81" i="40"/>
  <c r="C49" i="85"/>
  <c r="E81" i="40"/>
  <c r="D49" i="85"/>
  <c r="D82" i="40"/>
  <c r="C50" i="85"/>
  <c r="E82" i="40"/>
  <c r="D50" i="85"/>
  <c r="D83" i="40"/>
  <c r="C51" i="85"/>
  <c r="E83" i="40"/>
  <c r="D51" i="85"/>
  <c r="D84" i="40"/>
  <c r="C52" i="85"/>
  <c r="E84" i="40"/>
  <c r="D52" i="85"/>
  <c r="D85" i="40"/>
  <c r="C53" i="85"/>
  <c r="E85" i="40"/>
  <c r="D53" i="85"/>
  <c r="D87" i="40"/>
  <c r="C55" i="85"/>
  <c r="E87" i="40"/>
  <c r="D55" i="85"/>
  <c r="F88" i="40"/>
  <c r="F56" i="85"/>
  <c r="H88" i="40"/>
  <c r="H56" i="85"/>
  <c r="I88" i="40"/>
  <c r="I56" i="85"/>
  <c r="J88" i="40"/>
  <c r="J56" i="85"/>
  <c r="K88" i="40"/>
  <c r="K56" i="85"/>
  <c r="L88" i="40"/>
  <c r="L56" i="85"/>
  <c r="M88" i="40"/>
  <c r="M56" i="85"/>
  <c r="N88" i="40"/>
  <c r="P88" i="40"/>
  <c r="P56" i="85"/>
  <c r="D89" i="40"/>
  <c r="C57" i="85"/>
  <c r="O88" i="40"/>
  <c r="O56" i="85"/>
  <c r="D90" i="40"/>
  <c r="C58" i="85"/>
  <c r="E90" i="40"/>
  <c r="D58" i="85"/>
  <c r="D91" i="40"/>
  <c r="C59" i="85"/>
  <c r="E91" i="40"/>
  <c r="D59" i="85"/>
  <c r="B101" i="40"/>
  <c r="I30" i="38"/>
  <c r="I29" i="38"/>
  <c r="K23" i="90"/>
  <c r="J30" i="38"/>
  <c r="K30" i="38"/>
  <c r="H8" i="82"/>
  <c r="L30" i="38"/>
  <c r="M30" i="38"/>
  <c r="J8" i="82"/>
  <c r="N30" i="38"/>
  <c r="K8" i="82"/>
  <c r="G32" i="38"/>
  <c r="F25" i="90"/>
  <c r="Q25" i="90"/>
  <c r="G33" i="38"/>
  <c r="G34" i="38"/>
  <c r="C12" i="82"/>
  <c r="G39" i="38"/>
  <c r="C17" i="82"/>
  <c r="G40" i="38"/>
  <c r="C18" i="82"/>
  <c r="G41" i="38"/>
  <c r="C19" i="82"/>
  <c r="G42" i="38"/>
  <c r="C20" i="82"/>
  <c r="G43" i="38"/>
  <c r="C21" i="82"/>
  <c r="G44" i="38"/>
  <c r="C22" i="82"/>
  <c r="G45" i="38"/>
  <c r="C23" i="82"/>
  <c r="G46" i="38"/>
  <c r="C24" i="82"/>
  <c r="G48" i="38"/>
  <c r="C26" i="82"/>
  <c r="G49" i="38"/>
  <c r="C27" i="82"/>
  <c r="E10" i="83"/>
  <c r="D10" i="83"/>
  <c r="D60" i="38"/>
  <c r="A62" i="38"/>
  <c r="F71" i="38"/>
  <c r="B29" i="82"/>
  <c r="D29" i="82"/>
  <c r="G29" i="82"/>
  <c r="E29" i="82"/>
  <c r="G72" i="38"/>
  <c r="G73" i="38"/>
  <c r="C31" i="82"/>
  <c r="G74" i="38"/>
  <c r="C32" i="82"/>
  <c r="F75" i="38"/>
  <c r="B33" i="82"/>
  <c r="D33" i="82"/>
  <c r="J33" i="82"/>
  <c r="G76" i="38"/>
  <c r="C34" i="82"/>
  <c r="G77" i="38"/>
  <c r="C35" i="82"/>
  <c r="G78" i="38"/>
  <c r="C36" i="82"/>
  <c r="G79" i="38"/>
  <c r="C37" i="82"/>
  <c r="F80" i="38"/>
  <c r="B38" i="82"/>
  <c r="G38" i="82"/>
  <c r="J38" i="82"/>
  <c r="K38" i="82"/>
  <c r="E38" i="82"/>
  <c r="G81" i="38"/>
  <c r="C39" i="82"/>
  <c r="G82" i="38"/>
  <c r="C40" i="82"/>
  <c r="C1" i="75"/>
  <c r="E1" i="75"/>
  <c r="F1" i="75"/>
  <c r="G1" i="75"/>
  <c r="C3" i="75"/>
  <c r="G18" i="75"/>
  <c r="P18" i="75"/>
  <c r="I21" i="75"/>
  <c r="I69" i="75"/>
  <c r="P69" i="75"/>
  <c r="H77" i="75"/>
  <c r="I77" i="75"/>
  <c r="O77" i="75"/>
  <c r="I78" i="75"/>
  <c r="M83" i="75"/>
  <c r="N83" i="75"/>
  <c r="O83" i="75"/>
  <c r="P83" i="75"/>
  <c r="H88" i="75"/>
  <c r="K88" i="75"/>
  <c r="I91" i="75"/>
  <c r="M91" i="75"/>
  <c r="M92" i="75"/>
  <c r="P91" i="75"/>
  <c r="S91" i="75"/>
  <c r="T91" i="75"/>
  <c r="H101" i="75"/>
  <c r="H103" i="75"/>
  <c r="Z111" i="75"/>
  <c r="G127" i="75"/>
  <c r="H127" i="75"/>
  <c r="H129" i="75"/>
  <c r="G129" i="75"/>
  <c r="G137" i="75"/>
  <c r="H137" i="75"/>
  <c r="G139" i="75"/>
  <c r="F99" i="74"/>
  <c r="R21" i="74"/>
  <c r="E56" i="83"/>
  <c r="D49" i="83"/>
  <c r="E57" i="83"/>
  <c r="E52" i="40"/>
  <c r="D20" i="85"/>
  <c r="D52" i="40"/>
  <c r="C20" i="85"/>
  <c r="E49" i="40"/>
  <c r="D17" i="85"/>
  <c r="E44" i="40"/>
  <c r="D12" i="85"/>
  <c r="G49" i="83"/>
  <c r="D46" i="83"/>
  <c r="Q88" i="40"/>
  <c r="Q56" i="85"/>
  <c r="E69" i="40"/>
  <c r="D37" i="85"/>
  <c r="E39" i="40"/>
  <c r="E46" i="83"/>
  <c r="F42" i="83"/>
  <c r="D42" i="83"/>
  <c r="D69" i="40"/>
  <c r="C37" i="85"/>
  <c r="E41" i="83"/>
  <c r="G74" i="75"/>
  <c r="H15" i="40"/>
  <c r="D41" i="83"/>
  <c r="F32" i="83"/>
  <c r="G31" i="38"/>
  <c r="C9" i="82"/>
  <c r="F29" i="38"/>
  <c r="B7" i="82"/>
  <c r="N6" i="82"/>
  <c r="F12" i="74"/>
  <c r="R26" i="74"/>
  <c r="G73" i="90"/>
  <c r="I73" i="90"/>
  <c r="J73" i="90"/>
  <c r="F40" i="90"/>
  <c r="E6" i="80"/>
  <c r="H43" i="74"/>
  <c r="AC12" i="74"/>
  <c r="AB12" i="74"/>
  <c r="K42" i="74"/>
  <c r="F42" i="74"/>
  <c r="AC11" i="74"/>
  <c r="K43" i="74"/>
  <c r="K41" i="74"/>
  <c r="AE12" i="74"/>
  <c r="P39" i="85"/>
  <c r="H66" i="40"/>
  <c r="H34" i="85"/>
  <c r="H39" i="85"/>
  <c r="D89" i="83"/>
  <c r="F21" i="74"/>
  <c r="G50" i="83"/>
  <c r="N42" i="40"/>
  <c r="AA42" i="40"/>
  <c r="E89" i="40"/>
  <c r="D57" i="85"/>
  <c r="G57" i="85"/>
  <c r="G88" i="40"/>
  <c r="E66" i="83"/>
  <c r="X68" i="74"/>
  <c r="Y68" i="74"/>
  <c r="I65" i="75"/>
  <c r="O96" i="74"/>
  <c r="I42" i="40"/>
  <c r="I10" i="85"/>
  <c r="K39" i="85"/>
  <c r="D50" i="83"/>
  <c r="G30" i="40"/>
  <c r="H11" i="85"/>
  <c r="O29" i="38"/>
  <c r="E26" i="83"/>
  <c r="J45" i="74"/>
  <c r="R24" i="74"/>
  <c r="K51" i="74"/>
  <c r="F13" i="74"/>
  <c r="AE13" i="74"/>
  <c r="AE10" i="74"/>
  <c r="AE65" i="75"/>
  <c r="AE20" i="74"/>
  <c r="J43" i="74"/>
  <c r="F48" i="74"/>
  <c r="J48" i="74"/>
  <c r="J46" i="74"/>
  <c r="J44" i="74"/>
  <c r="AD22" i="74"/>
  <c r="AB15" i="74"/>
  <c r="F51" i="74"/>
  <c r="AD13" i="74"/>
  <c r="AD10" i="74"/>
  <c r="AD65" i="75"/>
  <c r="K50" i="74"/>
  <c r="I39" i="74"/>
  <c r="O94" i="74"/>
  <c r="P94" i="74"/>
  <c r="H52" i="74"/>
  <c r="AC24" i="74"/>
  <c r="AB24" i="74"/>
  <c r="H49" i="74"/>
  <c r="J49" i="74"/>
  <c r="AC21" i="74"/>
  <c r="AB21" i="74"/>
  <c r="K49" i="74"/>
  <c r="K47" i="74"/>
  <c r="AE24" i="74"/>
  <c r="AE22" i="74"/>
  <c r="H84" i="75"/>
  <c r="I15" i="75"/>
  <c r="E94" i="74"/>
  <c r="K66" i="74"/>
  <c r="Q94" i="74"/>
  <c r="K84" i="75"/>
  <c r="AA2" i="80"/>
  <c r="G6" i="82"/>
  <c r="J53" i="74"/>
  <c r="F96" i="74"/>
  <c r="L72" i="75"/>
  <c r="J72" i="75"/>
  <c r="P99" i="74"/>
  <c r="G99" i="75"/>
  <c r="C83" i="81"/>
  <c r="C82" i="81"/>
  <c r="P92" i="75"/>
  <c r="M71" i="74"/>
  <c r="G69" i="75"/>
  <c r="F12" i="90"/>
  <c r="C16" i="81"/>
  <c r="D87" i="83"/>
  <c r="R111" i="75"/>
  <c r="H135" i="75"/>
  <c r="G2" i="80"/>
  <c r="D22" i="85"/>
  <c r="M29" i="38"/>
  <c r="D26" i="83"/>
  <c r="K3" i="86"/>
  <c r="F31" i="74"/>
  <c r="AB17" i="74"/>
  <c r="Q99" i="74"/>
  <c r="K2" i="80"/>
  <c r="G5" i="93"/>
  <c r="D57" i="83"/>
  <c r="H57" i="83"/>
  <c r="C13" i="82"/>
  <c r="C37" i="81"/>
  <c r="I111" i="75"/>
  <c r="AF22" i="74"/>
  <c r="I18" i="75"/>
  <c r="F22" i="74"/>
  <c r="AF19" i="74"/>
  <c r="S92" i="75"/>
  <c r="O71" i="74"/>
  <c r="H45" i="75"/>
  <c r="H49" i="75"/>
  <c r="H133" i="75"/>
  <c r="F2" i="80"/>
  <c r="B8" i="80"/>
  <c r="U2" i="80"/>
  <c r="G131" i="75"/>
  <c r="E9" i="42"/>
  <c r="B13" i="80"/>
  <c r="B3" i="80"/>
  <c r="I139" i="75"/>
  <c r="D2" i="80"/>
  <c r="I129" i="75"/>
  <c r="C2" i="80"/>
  <c r="AB2" i="80"/>
  <c r="E101" i="40"/>
  <c r="E99" i="40"/>
  <c r="I33" i="82"/>
  <c r="C50" i="81"/>
  <c r="F12" i="83"/>
  <c r="D12" i="83"/>
  <c r="K6" i="82"/>
  <c r="F8" i="82"/>
  <c r="N20" i="75"/>
  <c r="Q66" i="40"/>
  <c r="T2" i="80"/>
  <c r="R2" i="80"/>
  <c r="F3" i="92"/>
  <c r="G32" i="40"/>
  <c r="G29" i="40"/>
  <c r="C14" i="82"/>
  <c r="O70" i="38"/>
  <c r="E31" i="83"/>
  <c r="D8" i="82"/>
  <c r="P37" i="90"/>
  <c r="P39" i="90"/>
  <c r="F38" i="82"/>
  <c r="N29" i="38"/>
  <c r="K7" i="82"/>
  <c r="I70" i="38"/>
  <c r="F70" i="38"/>
  <c r="B28" i="82"/>
  <c r="C10" i="82"/>
  <c r="F27" i="90"/>
  <c r="Q27" i="90"/>
  <c r="E5" i="93"/>
  <c r="H29" i="42"/>
  <c r="D7" i="83"/>
  <c r="H123" i="75"/>
  <c r="I137" i="75"/>
  <c r="G133" i="75"/>
  <c r="Q2" i="80"/>
  <c r="X2" i="80"/>
  <c r="Y2" i="80"/>
  <c r="B5" i="80"/>
  <c r="D6" i="80"/>
  <c r="I29" i="42"/>
  <c r="H2" i="80"/>
  <c r="D94" i="83"/>
  <c r="I51" i="75"/>
  <c r="AF2" i="80"/>
  <c r="AM2" i="80"/>
  <c r="E4" i="92"/>
  <c r="E36" i="83"/>
  <c r="F47" i="90"/>
  <c r="G41" i="75"/>
  <c r="H8" i="40"/>
  <c r="E33" i="83"/>
  <c r="Y92" i="75"/>
  <c r="J111" i="75"/>
  <c r="I127" i="75"/>
  <c r="G43" i="42"/>
  <c r="J29" i="42"/>
  <c r="J142" i="75"/>
  <c r="K43" i="42"/>
  <c r="G142" i="75"/>
  <c r="N43" i="42"/>
  <c r="L2" i="80"/>
  <c r="H43" i="42"/>
  <c r="K29" i="42"/>
  <c r="H12" i="80"/>
  <c r="E2" i="80"/>
  <c r="I43" i="42"/>
  <c r="G29" i="42"/>
  <c r="Z2" i="80"/>
  <c r="J43" i="42"/>
  <c r="N2" i="80"/>
  <c r="M43" i="42"/>
  <c r="E28" i="82"/>
  <c r="I37" i="90"/>
  <c r="I39" i="90"/>
  <c r="D31" i="83"/>
  <c r="I23" i="90"/>
  <c r="I32" i="90"/>
  <c r="K29" i="38"/>
  <c r="M23" i="90"/>
  <c r="E7" i="82"/>
  <c r="I29" i="82"/>
  <c r="F30" i="90"/>
  <c r="Q30" i="90"/>
  <c r="W42" i="40"/>
  <c r="H10" i="85"/>
  <c r="I31" i="40"/>
  <c r="M32" i="90"/>
  <c r="E92" i="47"/>
  <c r="C85" i="81"/>
  <c r="C52" i="81"/>
  <c r="D80" i="83"/>
  <c r="K92" i="75"/>
  <c r="I92" i="75"/>
  <c r="H113" i="75"/>
  <c r="AB31" i="74"/>
  <c r="Q22" i="38"/>
  <c r="H86" i="75"/>
  <c r="C62" i="81"/>
  <c r="M18" i="75"/>
  <c r="J25" i="47"/>
  <c r="H19" i="81"/>
  <c r="H20" i="75"/>
  <c r="S95" i="75"/>
  <c r="S111" i="75"/>
  <c r="D84" i="83"/>
  <c r="G113" i="75"/>
  <c r="F112" i="75"/>
  <c r="BP7" i="98"/>
  <c r="BP8" i="98"/>
  <c r="C8" i="81"/>
  <c r="I25" i="47"/>
  <c r="G19" i="81"/>
  <c r="G51" i="75"/>
  <c r="D81" i="83"/>
  <c r="O92" i="75"/>
  <c r="Q92" i="75"/>
  <c r="U22" i="38"/>
  <c r="C6" i="80"/>
  <c r="G125" i="75"/>
  <c r="P2" i="80"/>
  <c r="F29" i="42"/>
  <c r="C12" i="80"/>
  <c r="E21" i="42"/>
  <c r="D4" i="83"/>
  <c r="V2" i="80"/>
  <c r="W2" i="80"/>
  <c r="H125" i="75"/>
  <c r="F92" i="47"/>
  <c r="D85" i="81"/>
  <c r="I92" i="47"/>
  <c r="G85" i="81"/>
  <c r="R92" i="75"/>
  <c r="T92" i="75"/>
  <c r="M66" i="74"/>
  <c r="K111" i="75"/>
  <c r="R84" i="75"/>
  <c r="J97" i="75"/>
  <c r="G12" i="75"/>
  <c r="F66" i="83"/>
  <c r="D33" i="85"/>
  <c r="M39" i="85"/>
  <c r="F132" i="75"/>
  <c r="AU7" i="98"/>
  <c r="AU8" i="98"/>
  <c r="G99" i="40"/>
  <c r="F60" i="90"/>
  <c r="C5" i="93"/>
  <c r="Y71" i="74"/>
  <c r="P26" i="85"/>
  <c r="L26" i="85"/>
  <c r="I39" i="85"/>
  <c r="N10" i="85"/>
  <c r="AI17" i="74"/>
  <c r="N89" i="75"/>
  <c r="F63" i="83"/>
  <c r="O26" i="85"/>
  <c r="H38" i="40"/>
  <c r="H6" i="85"/>
  <c r="O66" i="40"/>
  <c r="F65" i="83"/>
  <c r="D58" i="40"/>
  <c r="C26" i="85"/>
  <c r="J26" i="85"/>
  <c r="E100" i="40"/>
  <c r="G66" i="40"/>
  <c r="G34" i="85"/>
  <c r="G39" i="85"/>
  <c r="E71" i="40"/>
  <c r="D39" i="85"/>
  <c r="O34" i="85"/>
  <c r="K34" i="90"/>
  <c r="N66" i="40"/>
  <c r="N39" i="85"/>
  <c r="D71" i="40"/>
  <c r="C39" i="85"/>
  <c r="F42" i="40"/>
  <c r="L39" i="85"/>
  <c r="L66" i="40"/>
  <c r="M26" i="85"/>
  <c r="G26" i="85"/>
  <c r="E63" i="83"/>
  <c r="H63" i="83"/>
  <c r="D13" i="85"/>
  <c r="D58" i="83"/>
  <c r="H58" i="83"/>
  <c r="D9" i="85"/>
  <c r="G101" i="40"/>
  <c r="F62" i="90"/>
  <c r="I32" i="40"/>
  <c r="I30" i="40"/>
  <c r="F4" i="92"/>
  <c r="F7" i="40"/>
  <c r="G12" i="40"/>
  <c r="F35" i="90"/>
  <c r="H35" i="90"/>
  <c r="D23" i="85"/>
  <c r="D62" i="83"/>
  <c r="H62" i="83"/>
  <c r="E58" i="40"/>
  <c r="D26" i="85"/>
  <c r="F36" i="90"/>
  <c r="N77" i="75"/>
  <c r="F60" i="83"/>
  <c r="O42" i="40"/>
  <c r="F59" i="83"/>
  <c r="V31" i="74"/>
  <c r="V32" i="74"/>
  <c r="E14" i="83"/>
  <c r="D14" i="83"/>
  <c r="F51" i="90"/>
  <c r="F104" i="75"/>
  <c r="BL7" i="98"/>
  <c r="BL8" i="98"/>
  <c r="W20" i="38"/>
  <c r="D18" i="83"/>
  <c r="H119" i="75"/>
  <c r="I119" i="75"/>
  <c r="F118" i="75"/>
  <c r="AN7" i="98"/>
  <c r="AN8" i="98"/>
  <c r="L34" i="85"/>
  <c r="D63" i="83"/>
  <c r="AI24" i="74"/>
  <c r="G94" i="74"/>
  <c r="L94" i="74"/>
  <c r="L15" i="75"/>
  <c r="J15" i="75"/>
  <c r="K40" i="42"/>
  <c r="J5" i="93"/>
  <c r="M8" i="40"/>
  <c r="K4" i="92"/>
  <c r="F61" i="75"/>
  <c r="O7" i="98"/>
  <c r="O8" i="98"/>
  <c r="K8" i="40"/>
  <c r="I41" i="75"/>
  <c r="F10" i="74"/>
  <c r="AK11" i="74"/>
  <c r="AB11" i="74"/>
  <c r="K42" i="40"/>
  <c r="K10" i="85"/>
  <c r="Q66" i="74"/>
  <c r="S66" i="74"/>
  <c r="H65" i="75"/>
  <c r="L20" i="75"/>
  <c r="G87" i="74"/>
  <c r="R5" i="74"/>
  <c r="AE19" i="74"/>
  <c r="U65" i="75"/>
  <c r="M48" i="47"/>
  <c r="AP95" i="75"/>
  <c r="K81" i="75"/>
  <c r="G95" i="75"/>
  <c r="F16" i="90"/>
  <c r="G72" i="75"/>
  <c r="M72" i="75"/>
  <c r="P72" i="75"/>
  <c r="G10" i="75"/>
  <c r="I10" i="75"/>
  <c r="D92" i="83"/>
  <c r="H81" i="75"/>
  <c r="G101" i="75"/>
  <c r="J86" i="75"/>
  <c r="AE95" i="75"/>
  <c r="H22" i="75"/>
  <c r="G20" i="75"/>
  <c r="L13" i="81"/>
  <c r="M68" i="74"/>
  <c r="D83" i="83"/>
  <c r="G31" i="75"/>
  <c r="F31" i="75"/>
  <c r="AD7" i="98"/>
  <c r="AD8" i="98"/>
  <c r="T22" i="38"/>
  <c r="AD31" i="74"/>
  <c r="D88" i="83"/>
  <c r="D22" i="83"/>
  <c r="O66" i="74"/>
  <c r="K95" i="75"/>
  <c r="N95" i="75"/>
  <c r="H92" i="75"/>
  <c r="O68" i="74"/>
  <c r="J77" i="75"/>
  <c r="L92" i="75"/>
  <c r="O10" i="75"/>
  <c r="F17" i="90"/>
  <c r="D79" i="83"/>
  <c r="I31" i="74"/>
  <c r="I32" i="74"/>
  <c r="D21" i="83"/>
  <c r="P22" i="38"/>
  <c r="P95" i="75"/>
  <c r="K51" i="75"/>
  <c r="AH92" i="75"/>
  <c r="H7" i="75"/>
  <c r="D6" i="83"/>
  <c r="G17" i="40"/>
  <c r="M42" i="40"/>
  <c r="Z42" i="40"/>
  <c r="F7" i="82"/>
  <c r="I38" i="40"/>
  <c r="I6" i="85"/>
  <c r="F106" i="75"/>
  <c r="BM7" i="98"/>
  <c r="BM8" i="98"/>
  <c r="D56" i="83"/>
  <c r="H56" i="83"/>
  <c r="P89" i="75"/>
  <c r="Y66" i="74"/>
  <c r="L8" i="40"/>
  <c r="R19" i="38"/>
  <c r="G117" i="75"/>
  <c r="F5" i="75"/>
  <c r="D7" i="98"/>
  <c r="D8" i="98"/>
  <c r="S71" i="74"/>
  <c r="F102" i="75"/>
  <c r="BK7" i="98"/>
  <c r="BK8" i="98"/>
  <c r="F134" i="75"/>
  <c r="AV7" i="98"/>
  <c r="AV8" i="98"/>
  <c r="AJ17" i="74"/>
  <c r="O89" i="75"/>
  <c r="D7" i="85"/>
  <c r="L40" i="42"/>
  <c r="G56" i="75"/>
  <c r="F55" i="75"/>
  <c r="AK7" i="98"/>
  <c r="AK8" i="98"/>
  <c r="F16" i="75"/>
  <c r="G7" i="98"/>
  <c r="G8" i="98"/>
  <c r="J8" i="40"/>
  <c r="S68" i="74"/>
  <c r="F124" i="75"/>
  <c r="AQ7" i="98"/>
  <c r="AQ8" i="98"/>
  <c r="BB89" i="75"/>
  <c r="M40" i="42"/>
  <c r="H56" i="75"/>
  <c r="F33" i="90"/>
  <c r="H33" i="90"/>
  <c r="Q89" i="75"/>
  <c r="L56" i="74"/>
  <c r="J40" i="42"/>
  <c r="I5" i="93"/>
  <c r="M38" i="40"/>
  <c r="M6" i="85"/>
  <c r="J87" i="74"/>
  <c r="H85" i="74"/>
  <c r="K9" i="86"/>
  <c r="I49" i="75"/>
  <c r="I12" i="75"/>
  <c r="K15" i="75"/>
  <c r="D51" i="83"/>
  <c r="F57" i="90"/>
  <c r="U84" i="75"/>
  <c r="V84" i="75"/>
  <c r="L31" i="74"/>
  <c r="L32" i="74"/>
  <c r="M10" i="85"/>
  <c r="Q10" i="85"/>
  <c r="AD42" i="40"/>
  <c r="F24" i="90"/>
  <c r="Q24" i="90"/>
  <c r="F30" i="83"/>
  <c r="O37" i="90"/>
  <c r="O39" i="90"/>
  <c r="J28" i="82"/>
  <c r="G71" i="38"/>
  <c r="C29" i="82"/>
  <c r="J29" i="82"/>
  <c r="I95" i="75"/>
  <c r="F25" i="81"/>
  <c r="D30" i="83"/>
  <c r="K28" i="82"/>
  <c r="I54" i="38"/>
  <c r="L25" i="75"/>
  <c r="O19" i="38"/>
  <c r="E6" i="82"/>
  <c r="H59" i="47"/>
  <c r="F52" i="81"/>
  <c r="G92" i="47"/>
  <c r="H92" i="47"/>
  <c r="O72" i="75"/>
  <c r="F13" i="83"/>
  <c r="D13" i="83"/>
  <c r="M29" i="75"/>
  <c r="J6" i="82"/>
  <c r="T34" i="75"/>
  <c r="I86" i="75"/>
  <c r="L9" i="86"/>
  <c r="K32" i="90"/>
  <c r="M10" i="75"/>
  <c r="K18" i="75"/>
  <c r="AD27" i="74"/>
  <c r="K77" i="75"/>
  <c r="F32" i="74"/>
  <c r="G81" i="81"/>
  <c r="K90" i="47"/>
  <c r="I83" i="81"/>
  <c r="K69" i="47"/>
  <c r="I62" i="81"/>
  <c r="G52" i="81"/>
  <c r="K14" i="47"/>
  <c r="K25" i="47"/>
  <c r="I19" i="81"/>
  <c r="AR92" i="75"/>
  <c r="F81" i="81"/>
  <c r="AL95" i="75"/>
  <c r="AO95" i="75"/>
  <c r="H69" i="47"/>
  <c r="F62" i="81"/>
  <c r="H68" i="47"/>
  <c r="P29" i="75"/>
  <c r="F61" i="81"/>
  <c r="C61" i="81"/>
  <c r="F47" i="81"/>
  <c r="N111" i="75"/>
  <c r="C38" i="81"/>
  <c r="O23" i="42"/>
  <c r="J4" i="80"/>
  <c r="O21" i="42"/>
  <c r="B2" i="80"/>
  <c r="E12" i="80"/>
  <c r="AI2" i="80"/>
  <c r="AP2" i="80"/>
  <c r="E43" i="42"/>
  <c r="H142" i="75"/>
  <c r="G12" i="80"/>
  <c r="AH2" i="80"/>
  <c r="AO2" i="80"/>
  <c r="F9" i="42"/>
  <c r="E29" i="42"/>
  <c r="AD2" i="80"/>
  <c r="AB42" i="40"/>
  <c r="H25" i="75"/>
  <c r="N27" i="75"/>
  <c r="O27" i="75"/>
  <c r="P23" i="90"/>
  <c r="P32" i="90"/>
  <c r="E9" i="15"/>
  <c r="J51" i="75"/>
  <c r="H19" i="38"/>
  <c r="F13" i="90"/>
  <c r="J89" i="75"/>
  <c r="L89" i="75"/>
  <c r="I8" i="81"/>
  <c r="AL22" i="74"/>
  <c r="AC92" i="75"/>
  <c r="AF92" i="75"/>
  <c r="J2" i="80"/>
  <c r="AJ24" i="74"/>
  <c r="E32" i="83"/>
  <c r="T38" i="75"/>
  <c r="B4" i="92"/>
  <c r="K56" i="47"/>
  <c r="D85" i="83"/>
  <c r="K54" i="47"/>
  <c r="H69" i="75"/>
  <c r="I20" i="75"/>
  <c r="J20" i="75"/>
  <c r="O20" i="75"/>
  <c r="K86" i="75"/>
  <c r="G42" i="40"/>
  <c r="G10" i="85"/>
  <c r="G11" i="85"/>
  <c r="E43" i="40"/>
  <c r="E60" i="83"/>
  <c r="G22" i="75"/>
  <c r="C6" i="90"/>
  <c r="B6" i="80"/>
  <c r="Z6" i="82"/>
  <c r="I25" i="75"/>
  <c r="O38" i="40"/>
  <c r="K14" i="40"/>
  <c r="X42" i="40"/>
  <c r="G11" i="40"/>
  <c r="G15" i="40"/>
  <c r="F10" i="85"/>
  <c r="G16" i="40"/>
  <c r="U42" i="40"/>
  <c r="G8" i="40"/>
  <c r="O10" i="85"/>
  <c r="AF64" i="75"/>
  <c r="AB64" i="75"/>
  <c r="U76" i="75"/>
  <c r="J46" i="47"/>
  <c r="K5" i="81"/>
  <c r="G22" i="40"/>
  <c r="E46" i="47"/>
  <c r="F45" i="90"/>
  <c r="D33" i="83"/>
  <c r="AB14" i="74"/>
  <c r="N37" i="90"/>
  <c r="N39" i="90"/>
  <c r="I28" i="82"/>
  <c r="G25" i="47"/>
  <c r="K10" i="47"/>
  <c r="L34" i="75"/>
  <c r="F25" i="47"/>
  <c r="H25" i="47"/>
  <c r="F19" i="81"/>
  <c r="E88" i="40"/>
  <c r="L6" i="74"/>
  <c r="H10" i="47"/>
  <c r="L69" i="75"/>
  <c r="Q26" i="85"/>
  <c r="C81" i="81"/>
  <c r="H109" i="75"/>
  <c r="J42" i="74"/>
  <c r="J41" i="74"/>
  <c r="H14" i="47"/>
  <c r="I49" i="81"/>
  <c r="L16" i="81"/>
  <c r="H12" i="75"/>
  <c r="K12" i="75"/>
  <c r="L97" i="75"/>
  <c r="AK92" i="75"/>
  <c r="AK89" i="75"/>
  <c r="I47" i="81"/>
  <c r="H78" i="75"/>
  <c r="K89" i="75"/>
  <c r="L86" i="75"/>
  <c r="E59" i="83"/>
  <c r="V42" i="40"/>
  <c r="T43" i="40"/>
  <c r="G38" i="40"/>
  <c r="E42" i="40"/>
  <c r="D10" i="85"/>
  <c r="D59" i="83"/>
  <c r="H59" i="83"/>
  <c r="D19" i="81"/>
  <c r="F46" i="47"/>
  <c r="H40" i="81"/>
  <c r="G109" i="75"/>
  <c r="G98" i="40"/>
  <c r="J74" i="75"/>
  <c r="K74" i="75"/>
  <c r="O6" i="85"/>
  <c r="F52" i="83"/>
  <c r="F4" i="81"/>
  <c r="AK13" i="74"/>
  <c r="G81" i="75"/>
  <c r="I81" i="75"/>
  <c r="E19" i="81"/>
  <c r="G46" i="47"/>
  <c r="E40" i="81"/>
  <c r="F8" i="81"/>
  <c r="AK22" i="74"/>
  <c r="G6" i="85"/>
  <c r="F30" i="81"/>
  <c r="M111" i="75"/>
  <c r="H97" i="75"/>
  <c r="L45" i="47"/>
  <c r="O95" i="75"/>
  <c r="Q95" i="75"/>
  <c r="D40" i="81"/>
  <c r="L65" i="75"/>
  <c r="J65" i="75"/>
  <c r="F50" i="81"/>
  <c r="K17" i="81"/>
  <c r="R65" i="75"/>
  <c r="V65" i="75"/>
  <c r="H44" i="47"/>
  <c r="F38" i="81"/>
  <c r="G54" i="75"/>
  <c r="H41" i="75"/>
  <c r="R66" i="75"/>
  <c r="L19" i="81"/>
  <c r="I68" i="47"/>
  <c r="K68" i="47"/>
  <c r="J7" i="75"/>
  <c r="R72" i="75"/>
  <c r="G61" i="81"/>
  <c r="I61" i="81"/>
  <c r="Q33" i="90"/>
  <c r="K5" i="93"/>
  <c r="L5" i="93"/>
  <c r="J4" i="92"/>
  <c r="F120" i="75"/>
  <c r="AO7" i="98"/>
  <c r="AO8" i="98"/>
  <c r="I121" i="75"/>
  <c r="H117" i="75"/>
  <c r="I117" i="75"/>
  <c r="F116" i="75"/>
  <c r="AM7" i="98"/>
  <c r="AN92" i="75"/>
  <c r="AP92" i="75"/>
  <c r="AQ89" i="75"/>
  <c r="AO92" i="75"/>
  <c r="AQ92" i="75"/>
  <c r="B12" i="80"/>
  <c r="D5" i="83"/>
  <c r="AC2" i="80"/>
  <c r="AJ2" i="80"/>
  <c r="K117" i="75"/>
  <c r="O2" i="80"/>
  <c r="S2" i="80"/>
  <c r="AV92" i="75"/>
  <c r="AM8" i="98"/>
  <c r="P38" i="75"/>
  <c r="O38" i="75"/>
  <c r="X111" i="75"/>
  <c r="K65" i="75"/>
  <c r="Q34" i="85"/>
  <c r="Q38" i="40"/>
  <c r="Q6" i="85"/>
  <c r="E65" i="83"/>
  <c r="D7" i="82"/>
  <c r="E23" i="83"/>
  <c r="E20" i="83"/>
  <c r="Q31" i="74"/>
  <c r="Q32" i="74"/>
  <c r="H23" i="90"/>
  <c r="D23" i="83"/>
  <c r="I123" i="75"/>
  <c r="F122" i="75"/>
  <c r="AP7" i="98"/>
  <c r="AP8" i="98"/>
  <c r="N72" i="75"/>
  <c r="I66" i="75"/>
  <c r="P96" i="74"/>
  <c r="F100" i="75"/>
  <c r="BJ7" i="98"/>
  <c r="BJ8" i="98"/>
  <c r="Y42" i="40"/>
  <c r="L38" i="40"/>
  <c r="L6" i="85"/>
  <c r="L10" i="85"/>
  <c r="AC10" i="74"/>
  <c r="AB13" i="74"/>
  <c r="I14" i="81"/>
  <c r="U111" i="75"/>
  <c r="I50" i="81"/>
  <c r="L17" i="81"/>
  <c r="N65" i="75"/>
  <c r="Q65" i="75"/>
  <c r="F85" i="81"/>
  <c r="K22" i="81"/>
  <c r="L7" i="75"/>
  <c r="AS92" i="75"/>
  <c r="I81" i="81"/>
  <c r="M54" i="47"/>
  <c r="F58" i="81"/>
  <c r="Q72" i="75"/>
  <c r="S72" i="75"/>
  <c r="G92" i="75"/>
  <c r="J92" i="75"/>
  <c r="S38" i="75"/>
  <c r="U38" i="75"/>
  <c r="V38" i="75"/>
  <c r="T76" i="75"/>
  <c r="AE64" i="75"/>
  <c r="AA64" i="75"/>
  <c r="D86" i="83"/>
  <c r="I22" i="75"/>
  <c r="F21" i="75"/>
  <c r="Y7" i="98"/>
  <c r="Y8" i="98"/>
  <c r="D56" i="85"/>
  <c r="K20" i="75"/>
  <c r="M20" i="75"/>
  <c r="F19" i="75"/>
  <c r="X7" i="98"/>
  <c r="X8" i="98"/>
  <c r="G102" i="40"/>
  <c r="D66" i="83"/>
  <c r="H66" i="83"/>
  <c r="F14" i="90"/>
  <c r="H36" i="90"/>
  <c r="Q36" i="90"/>
  <c r="F85" i="75"/>
  <c r="BD7" i="98"/>
  <c r="BD8" i="98"/>
  <c r="H89" i="75"/>
  <c r="I89" i="75"/>
  <c r="I142" i="75"/>
  <c r="F141" i="75"/>
  <c r="AY7" i="98"/>
  <c r="AY8" i="98"/>
  <c r="F12" i="80"/>
  <c r="H139" i="75"/>
  <c r="C30" i="82"/>
  <c r="F38" i="90"/>
  <c r="C11" i="82"/>
  <c r="F26" i="90"/>
  <c r="S76" i="75"/>
  <c r="AD64" i="75"/>
  <c r="Z64" i="75"/>
  <c r="T72" i="75"/>
  <c r="I18" i="81"/>
  <c r="AB95" i="75"/>
  <c r="I44" i="47"/>
  <c r="K36" i="47"/>
  <c r="G30" i="81"/>
  <c r="D90" i="83"/>
  <c r="F59" i="90"/>
  <c r="F108" i="75"/>
  <c r="BN7" i="98"/>
  <c r="BN8" i="98"/>
  <c r="O43" i="42"/>
  <c r="AG2" i="80"/>
  <c r="AN2" i="80"/>
  <c r="H29" i="75"/>
  <c r="I29" i="75"/>
  <c r="K37" i="90"/>
  <c r="K39" i="90"/>
  <c r="F28" i="82"/>
  <c r="L29" i="38"/>
  <c r="I8" i="82"/>
  <c r="G30" i="38"/>
  <c r="C8" i="82"/>
  <c r="N56" i="85"/>
  <c r="D88" i="40"/>
  <c r="H85" i="81"/>
  <c r="K92" i="47"/>
  <c r="P42" i="40"/>
  <c r="P11" i="85"/>
  <c r="D43" i="40"/>
  <c r="C11" i="85"/>
  <c r="L20" i="81"/>
  <c r="I43" i="81"/>
  <c r="L12" i="81"/>
  <c r="M65" i="75"/>
  <c r="T65" i="75"/>
  <c r="M49" i="47"/>
  <c r="W111" i="75"/>
  <c r="H38" i="75"/>
  <c r="G38" i="75"/>
  <c r="F37" i="75"/>
  <c r="AG7" i="98"/>
  <c r="F49" i="90"/>
  <c r="AM10" i="74"/>
  <c r="M84" i="75"/>
  <c r="AK15" i="74"/>
  <c r="F6" i="90"/>
  <c r="I29" i="40"/>
  <c r="D36" i="83"/>
  <c r="E38" i="83"/>
  <c r="D38" i="83"/>
  <c r="L66" i="74"/>
  <c r="G84" i="75"/>
  <c r="I84" i="75"/>
  <c r="O23" i="90"/>
  <c r="O32" i="90"/>
  <c r="N29" i="75"/>
  <c r="O29" i="75"/>
  <c r="J7" i="82"/>
  <c r="F25" i="83"/>
  <c r="D25" i="83"/>
  <c r="R31" i="74"/>
  <c r="R32" i="74"/>
  <c r="AG92" i="75"/>
  <c r="AJ92" i="75"/>
  <c r="AJ89" i="75"/>
  <c r="H51" i="75"/>
  <c r="M51" i="75"/>
  <c r="H54" i="75"/>
  <c r="F53" i="75"/>
  <c r="AJ7" i="98"/>
  <c r="AJ8" i="98"/>
  <c r="N34" i="85"/>
  <c r="N38" i="40"/>
  <c r="F8" i="83"/>
  <c r="E37" i="83"/>
  <c r="D37" i="83"/>
  <c r="T44" i="40"/>
  <c r="G7" i="75"/>
  <c r="H46" i="47"/>
  <c r="C40" i="81"/>
  <c r="L77" i="75"/>
  <c r="AD32" i="74"/>
  <c r="W19" i="38"/>
  <c r="D12" i="80"/>
  <c r="AE2" i="80"/>
  <c r="AL2" i="80"/>
  <c r="I4" i="81"/>
  <c r="AL13" i="74"/>
  <c r="L117" i="75"/>
  <c r="F126" i="75"/>
  <c r="AR7" i="98"/>
  <c r="AR8" i="98"/>
  <c r="T89" i="75"/>
  <c r="E54" i="83"/>
  <c r="G34" i="75"/>
  <c r="J81" i="75"/>
  <c r="G19" i="38"/>
  <c r="D60" i="83"/>
  <c r="H60" i="83"/>
  <c r="D11" i="85"/>
  <c r="E66" i="40"/>
  <c r="AK2" i="80"/>
  <c r="Q35" i="90"/>
  <c r="J51" i="74"/>
  <c r="J50" i="74"/>
  <c r="AC23" i="74"/>
  <c r="F54" i="83"/>
  <c r="G25" i="75"/>
  <c r="L54" i="47"/>
  <c r="L56" i="47"/>
  <c r="H33" i="82"/>
  <c r="G75" i="38"/>
  <c r="C33" i="82"/>
  <c r="K70" i="38"/>
  <c r="E9" i="83"/>
  <c r="I97" i="75"/>
  <c r="K97" i="75"/>
  <c r="K98" i="75"/>
  <c r="D6" i="82"/>
  <c r="E85" i="81"/>
  <c r="K38" i="40"/>
  <c r="J41" i="75"/>
  <c r="F40" i="75"/>
  <c r="AH7" i="98"/>
  <c r="AH8" i="98"/>
  <c r="J47" i="74"/>
  <c r="G8" i="82"/>
  <c r="J29" i="38"/>
  <c r="AA92" i="75"/>
  <c r="I77" i="81"/>
  <c r="D78" i="83"/>
  <c r="I23" i="81"/>
  <c r="J52" i="74"/>
  <c r="AF10" i="74"/>
  <c r="F11" i="90"/>
  <c r="F34" i="81"/>
  <c r="K8" i="81"/>
  <c r="T42" i="40"/>
  <c r="X31" i="74"/>
  <c r="X32" i="74"/>
  <c r="J66" i="40"/>
  <c r="H7" i="82"/>
  <c r="F130" i="75"/>
  <c r="AT7" i="98"/>
  <c r="AT8" i="98"/>
  <c r="C16" i="82"/>
  <c r="F31" i="90"/>
  <c r="H22" i="40"/>
  <c r="G48" i="83"/>
  <c r="D48" i="83"/>
  <c r="F56" i="90"/>
  <c r="G99" i="74"/>
  <c r="K69" i="75"/>
  <c r="M69" i="75"/>
  <c r="G60" i="75"/>
  <c r="F59" i="75"/>
  <c r="N7" i="98"/>
  <c r="N8" i="98"/>
  <c r="V44" i="40"/>
  <c r="G56" i="85"/>
  <c r="N92" i="75"/>
  <c r="G100" i="40"/>
  <c r="D8" i="85"/>
  <c r="H70" i="38"/>
  <c r="D38" i="82"/>
  <c r="G80" i="38"/>
  <c r="C38" i="82"/>
  <c r="H90" i="47"/>
  <c r="F83" i="81"/>
  <c r="D83" i="81"/>
  <c r="F20" i="74"/>
  <c r="AC20" i="74"/>
  <c r="G19" i="74"/>
  <c r="F19" i="74"/>
  <c r="N71" i="74"/>
  <c r="P71" i="74"/>
  <c r="Z92" i="75"/>
  <c r="AB92" i="75"/>
  <c r="G50" i="81"/>
  <c r="L55" i="47"/>
  <c r="L111" i="75"/>
  <c r="H99" i="75"/>
  <c r="F98" i="75"/>
  <c r="BI7" i="98"/>
  <c r="BI8" i="98"/>
  <c r="W92" i="75"/>
  <c r="X92" i="75"/>
  <c r="AB89" i="75"/>
  <c r="F36" i="81"/>
  <c r="F66" i="40"/>
  <c r="K34" i="75"/>
  <c r="M34" i="75"/>
  <c r="M35" i="75"/>
  <c r="AB26" i="74"/>
  <c r="Q10" i="75"/>
  <c r="R10" i="75"/>
  <c r="J70" i="38"/>
  <c r="F29" i="83"/>
  <c r="F27" i="83"/>
  <c r="AM19" i="74"/>
  <c r="O84" i="75"/>
  <c r="AK20" i="74"/>
  <c r="AK24" i="74"/>
  <c r="I85" i="81"/>
  <c r="L22" i="81"/>
  <c r="N7" i="75"/>
  <c r="K19" i="81"/>
  <c r="K18" i="81"/>
  <c r="N68" i="74"/>
  <c r="AB20" i="74"/>
  <c r="F61" i="90"/>
  <c r="F128" i="75"/>
  <c r="AS7" i="98"/>
  <c r="AS8" i="98"/>
  <c r="J25" i="75"/>
  <c r="AE6" i="82"/>
  <c r="AH17" i="74"/>
  <c r="M89" i="75"/>
  <c r="F88" i="75"/>
  <c r="BE7" i="98"/>
  <c r="BE8" i="98"/>
  <c r="H37" i="90"/>
  <c r="H39" i="90"/>
  <c r="D28" i="82"/>
  <c r="G70" i="38"/>
  <c r="E28" i="83"/>
  <c r="E27" i="83"/>
  <c r="D28" i="83"/>
  <c r="J34" i="85"/>
  <c r="J38" i="40"/>
  <c r="J6" i="85"/>
  <c r="K6" i="85"/>
  <c r="E38" i="40"/>
  <c r="N51" i="75"/>
  <c r="O51" i="75"/>
  <c r="F7" i="90"/>
  <c r="T66" i="75"/>
  <c r="W65" i="75"/>
  <c r="AH20" i="74"/>
  <c r="AH24" i="74"/>
  <c r="U95" i="75"/>
  <c r="X95" i="75"/>
  <c r="AC95" i="75"/>
  <c r="AF95" i="75"/>
  <c r="C6" i="82"/>
  <c r="AX92" i="75"/>
  <c r="BA92" i="75"/>
  <c r="C56" i="85"/>
  <c r="E102" i="40"/>
  <c r="Q26" i="90"/>
  <c r="B6" i="90"/>
  <c r="H74" i="75"/>
  <c r="N6" i="85"/>
  <c r="J14" i="40"/>
  <c r="F58" i="75"/>
  <c r="L7" i="98"/>
  <c r="L8" i="98"/>
  <c r="F63" i="90"/>
  <c r="P34" i="75"/>
  <c r="S34" i="75"/>
  <c r="AW92" i="75"/>
  <c r="Q31" i="90"/>
  <c r="G11" i="90"/>
  <c r="D9" i="83"/>
  <c r="E8" i="83"/>
  <c r="D8" i="83"/>
  <c r="L81" i="75"/>
  <c r="G78" i="75"/>
  <c r="F80" i="75"/>
  <c r="BB7" i="98"/>
  <c r="BB8" i="98"/>
  <c r="AG8" i="98"/>
  <c r="G38" i="81"/>
  <c r="K44" i="47"/>
  <c r="I38" i="81"/>
  <c r="I46" i="47"/>
  <c r="Q38" i="90"/>
  <c r="M99" i="74"/>
  <c r="L99" i="74"/>
  <c r="D34" i="85"/>
  <c r="D65" i="83"/>
  <c r="H65" i="83"/>
  <c r="F34" i="90"/>
  <c r="G103" i="40"/>
  <c r="G97" i="40"/>
  <c r="L37" i="90"/>
  <c r="L39" i="90"/>
  <c r="G28" i="82"/>
  <c r="H27" i="75"/>
  <c r="G7" i="82"/>
  <c r="L23" i="90"/>
  <c r="O31" i="74"/>
  <c r="F24" i="83"/>
  <c r="M77" i="75"/>
  <c r="P77" i="75"/>
  <c r="AC22" i="74"/>
  <c r="AB22" i="74"/>
  <c r="AB23" i="74"/>
  <c r="F48" i="90"/>
  <c r="M97" i="75"/>
  <c r="I30" i="81"/>
  <c r="V111" i="75"/>
  <c r="H111" i="75"/>
  <c r="M45" i="47"/>
  <c r="M56" i="47"/>
  <c r="R95" i="75"/>
  <c r="T95" i="75"/>
  <c r="M55" i="47"/>
  <c r="O97" i="75"/>
  <c r="AF65" i="75"/>
  <c r="AF6" i="74"/>
  <c r="H28" i="82"/>
  <c r="K29" i="75"/>
  <c r="L29" i="75"/>
  <c r="F28" i="75"/>
  <c r="M37" i="90"/>
  <c r="M39" i="90"/>
  <c r="O111" i="75"/>
  <c r="G111" i="75"/>
  <c r="F110" i="75"/>
  <c r="BO7" i="98"/>
  <c r="BO8" i="98"/>
  <c r="D29" i="83"/>
  <c r="G29" i="38"/>
  <c r="G12" i="90"/>
  <c r="G17" i="90"/>
  <c r="G16" i="90"/>
  <c r="F15" i="90"/>
  <c r="G15" i="90"/>
  <c r="AB10" i="74"/>
  <c r="G47" i="83"/>
  <c r="G32" i="83"/>
  <c r="H7" i="40"/>
  <c r="D47" i="83"/>
  <c r="F55" i="90"/>
  <c r="H32" i="90"/>
  <c r="F34" i="85"/>
  <c r="D66" i="40"/>
  <c r="F38" i="40"/>
  <c r="Y65" i="75"/>
  <c r="F40" i="81"/>
  <c r="K10" i="81"/>
  <c r="K7" i="75"/>
  <c r="E52" i="83"/>
  <c r="AB32" i="74"/>
  <c r="AC42" i="40"/>
  <c r="S43" i="40"/>
  <c r="P10" i="85"/>
  <c r="D42" i="40"/>
  <c r="P38" i="40"/>
  <c r="P6" i="85"/>
  <c r="I7" i="82"/>
  <c r="K27" i="75"/>
  <c r="L27" i="75"/>
  <c r="N23" i="90"/>
  <c r="N32" i="90"/>
  <c r="F136" i="75"/>
  <c r="AW7" i="98"/>
  <c r="AW8" i="98"/>
  <c r="G13" i="90"/>
  <c r="F91" i="75"/>
  <c r="BF7" i="98"/>
  <c r="BF8" i="98"/>
  <c r="N66" i="74"/>
  <c r="P66" i="74"/>
  <c r="J84" i="75"/>
  <c r="L84" i="75"/>
  <c r="H97" i="40"/>
  <c r="H101" i="40"/>
  <c r="H99" i="40"/>
  <c r="H98" i="40"/>
  <c r="H102" i="40"/>
  <c r="H100" i="40"/>
  <c r="S44" i="40"/>
  <c r="AC7" i="98"/>
  <c r="AC8" i="98"/>
  <c r="I8" i="40"/>
  <c r="I16" i="40"/>
  <c r="I15" i="40"/>
  <c r="L12" i="75"/>
  <c r="G47" i="75"/>
  <c r="I11" i="40"/>
  <c r="D32" i="83"/>
  <c r="I17" i="40"/>
  <c r="G43" i="75"/>
  <c r="I12" i="40"/>
  <c r="F50" i="75"/>
  <c r="AI7" i="98"/>
  <c r="F20" i="83"/>
  <c r="D24" i="83"/>
  <c r="K46" i="47"/>
  <c r="I7" i="75"/>
  <c r="G40" i="81"/>
  <c r="F73" i="90"/>
  <c r="F23" i="90"/>
  <c r="C7" i="82"/>
  <c r="J10" i="75"/>
  <c r="M31" i="74"/>
  <c r="M32" i="74"/>
  <c r="AE32" i="74"/>
  <c r="R77" i="75"/>
  <c r="D20" i="83"/>
  <c r="O32" i="74"/>
  <c r="AD33" i="74"/>
  <c r="AD34" i="74"/>
  <c r="P97" i="75"/>
  <c r="L32" i="90"/>
  <c r="K22" i="90"/>
  <c r="K25" i="75"/>
  <c r="H18" i="75"/>
  <c r="F37" i="90"/>
  <c r="AG20" i="74"/>
  <c r="AG24" i="74"/>
  <c r="C28" i="82"/>
  <c r="D27" i="83"/>
  <c r="AG17" i="74"/>
  <c r="O18" i="75"/>
  <c r="F64" i="90"/>
  <c r="H103" i="40"/>
  <c r="AL11" i="74"/>
  <c r="AL15" i="74"/>
  <c r="AN10" i="74"/>
  <c r="N84" i="75"/>
  <c r="O69" i="75"/>
  <c r="H66" i="75"/>
  <c r="I74" i="75"/>
  <c r="D6" i="85"/>
  <c r="E37" i="40"/>
  <c r="D55" i="83"/>
  <c r="D54" i="83"/>
  <c r="H54" i="83"/>
  <c r="G61" i="90"/>
  <c r="E103" i="40"/>
  <c r="C34" i="85"/>
  <c r="H34" i="90"/>
  <c r="H22" i="90"/>
  <c r="F44" i="90"/>
  <c r="G55" i="90"/>
  <c r="G48" i="90"/>
  <c r="F26" i="75"/>
  <c r="AB7" i="98"/>
  <c r="AB8" i="98"/>
  <c r="I27" i="75"/>
  <c r="AW89" i="75"/>
  <c r="Q34" i="75"/>
  <c r="U34" i="75"/>
  <c r="F33" i="75"/>
  <c r="AE7" i="98"/>
  <c r="AE8" i="98"/>
  <c r="M25" i="75"/>
  <c r="N25" i="75"/>
  <c r="F25" i="75"/>
  <c r="AA7" i="98"/>
  <c r="C10" i="85"/>
  <c r="S42" i="40"/>
  <c r="E98" i="40"/>
  <c r="AC19" i="74"/>
  <c r="G65" i="75"/>
  <c r="D38" i="40"/>
  <c r="F6" i="85"/>
  <c r="I22" i="40"/>
  <c r="F94" i="75"/>
  <c r="BG7" i="98"/>
  <c r="BG8" i="98"/>
  <c r="G63" i="90"/>
  <c r="B7" i="90"/>
  <c r="E7" i="90"/>
  <c r="D7" i="90"/>
  <c r="G7" i="90"/>
  <c r="H7" i="90"/>
  <c r="C7" i="90"/>
  <c r="I7" i="90"/>
  <c r="X65" i="75"/>
  <c r="P68" i="74"/>
  <c r="F138" i="75"/>
  <c r="AX7" i="98"/>
  <c r="AX8" i="98"/>
  <c r="F96" i="75"/>
  <c r="P98" i="75"/>
  <c r="G27" i="90"/>
  <c r="G24" i="90"/>
  <c r="G23" i="90"/>
  <c r="F32" i="90"/>
  <c r="G30" i="90"/>
  <c r="G35" i="90"/>
  <c r="G28" i="90"/>
  <c r="G33" i="90"/>
  <c r="Q23" i="90"/>
  <c r="G25" i="90"/>
  <c r="F22" i="90"/>
  <c r="G29" i="90"/>
  <c r="G36" i="90"/>
  <c r="G38" i="90"/>
  <c r="G26" i="90"/>
  <c r="G31" i="90"/>
  <c r="AI8" i="98"/>
  <c r="AF7" i="98"/>
  <c r="AF8" i="98"/>
  <c r="G57" i="90"/>
  <c r="G51" i="90"/>
  <c r="G44" i="90"/>
  <c r="G65" i="90"/>
  <c r="G53" i="90"/>
  <c r="G50" i="90"/>
  <c r="G54" i="90"/>
  <c r="G47" i="90"/>
  <c r="G66" i="90"/>
  <c r="G62" i="90"/>
  <c r="G46" i="90"/>
  <c r="G52" i="90"/>
  <c r="G67" i="90"/>
  <c r="G45" i="90"/>
  <c r="G60" i="90"/>
  <c r="G56" i="90"/>
  <c r="G49" i="90"/>
  <c r="G59" i="90"/>
  <c r="AL7" i="98"/>
  <c r="AL8" i="98"/>
  <c r="G37" i="90"/>
  <c r="Q37" i="90"/>
  <c r="F39" i="90"/>
  <c r="G74" i="90"/>
  <c r="K73" i="90"/>
  <c r="F75" i="90"/>
  <c r="E75" i="90"/>
  <c r="E74" i="90"/>
  <c r="H74" i="90"/>
  <c r="AA8" i="98"/>
  <c r="Z7" i="98"/>
  <c r="Z8" i="98"/>
  <c r="Q34" i="90"/>
  <c r="H47" i="75"/>
  <c r="D52" i="83"/>
  <c r="F69" i="83"/>
  <c r="F71" i="83"/>
  <c r="D53" i="83"/>
  <c r="F73" i="83"/>
  <c r="F75" i="83"/>
  <c r="M12" i="75"/>
  <c r="O12" i="75"/>
  <c r="P12" i="75"/>
  <c r="F11" i="75"/>
  <c r="U7" i="98"/>
  <c r="U8" i="98"/>
  <c r="H43" i="75"/>
  <c r="J43" i="75"/>
  <c r="K43" i="75"/>
  <c r="J45" i="75"/>
  <c r="L45" i="75"/>
  <c r="D5" i="85"/>
  <c r="J18" i="75"/>
  <c r="F17" i="75"/>
  <c r="W7" i="98"/>
  <c r="W8" i="98"/>
  <c r="L18" i="75"/>
  <c r="N18" i="75"/>
  <c r="G45" i="75"/>
  <c r="I45" i="75"/>
  <c r="F64" i="75"/>
  <c r="AB19" i="74"/>
  <c r="AC65" i="75"/>
  <c r="E97" i="40"/>
  <c r="F98" i="40"/>
  <c r="G64" i="90"/>
  <c r="G5" i="75"/>
  <c r="F58" i="90"/>
  <c r="G58" i="90"/>
  <c r="L10" i="75"/>
  <c r="N10" i="75"/>
  <c r="P10" i="75"/>
  <c r="G49" i="75"/>
  <c r="J49" i="75"/>
  <c r="D37" i="40"/>
  <c r="C5" i="85"/>
  <c r="C6" i="85"/>
  <c r="G34" i="90"/>
  <c r="Q77" i="75"/>
  <c r="M7" i="75"/>
  <c r="O7" i="75"/>
  <c r="F6" i="75"/>
  <c r="E7" i="98"/>
  <c r="E8" i="98"/>
  <c r="F8" i="75"/>
  <c r="F7" i="98"/>
  <c r="F8" i="98"/>
  <c r="D9" i="98"/>
  <c r="I40" i="81"/>
  <c r="L10" i="81"/>
  <c r="E69" i="83"/>
  <c r="D75" i="83"/>
  <c r="E73" i="83"/>
  <c r="D71" i="83"/>
  <c r="D69" i="83"/>
  <c r="D73" i="83"/>
  <c r="L43" i="75"/>
  <c r="F42" i="75"/>
  <c r="H7" i="98"/>
  <c r="H8" i="98"/>
  <c r="F68" i="90"/>
  <c r="G68" i="90"/>
  <c r="G39" i="90"/>
  <c r="Q39" i="90"/>
  <c r="F9" i="75"/>
  <c r="T7" i="98"/>
  <c r="T8" i="98"/>
  <c r="F103" i="40"/>
  <c r="E9" i="85"/>
  <c r="E32" i="85"/>
  <c r="E43" i="85"/>
  <c r="E24" i="85"/>
  <c r="E23" i="85"/>
  <c r="E33" i="85"/>
  <c r="E20" i="85"/>
  <c r="E19" i="85"/>
  <c r="E36" i="85"/>
  <c r="E46" i="85"/>
  <c r="E37" i="85"/>
  <c r="E7" i="85"/>
  <c r="E29" i="85"/>
  <c r="E35" i="85"/>
  <c r="E18" i="85"/>
  <c r="E30" i="85"/>
  <c r="E50" i="85"/>
  <c r="E55" i="85"/>
  <c r="E22" i="85"/>
  <c r="E54" i="85"/>
  <c r="E51" i="85"/>
  <c r="E26" i="85"/>
  <c r="E27" i="85"/>
  <c r="E40" i="85"/>
  <c r="E31" i="85"/>
  <c r="E17" i="85"/>
  <c r="E13" i="85"/>
  <c r="E16" i="85"/>
  <c r="E53" i="85"/>
  <c r="E47" i="85"/>
  <c r="E14" i="85"/>
  <c r="E57" i="85"/>
  <c r="E41" i="85"/>
  <c r="E25" i="85"/>
  <c r="E28" i="85"/>
  <c r="E12" i="85"/>
  <c r="E48" i="85"/>
  <c r="E15" i="85"/>
  <c r="E44" i="85"/>
  <c r="E58" i="85"/>
  <c r="E60" i="85"/>
  <c r="E42" i="85"/>
  <c r="E39" i="85"/>
  <c r="E45" i="85"/>
  <c r="E5" i="85"/>
  <c r="E52" i="85"/>
  <c r="E49" i="85"/>
  <c r="E21" i="85"/>
  <c r="E59" i="85"/>
  <c r="E10" i="85"/>
  <c r="E38" i="85"/>
  <c r="E56" i="85"/>
  <c r="E8" i="85"/>
  <c r="E11" i="85"/>
  <c r="E34" i="85"/>
  <c r="J47" i="75"/>
  <c r="K49" i="75"/>
  <c r="Q22" i="90"/>
  <c r="G22" i="90"/>
  <c r="AL20" i="74"/>
  <c r="AL24" i="74"/>
  <c r="AN19" i="74"/>
  <c r="P84" i="75"/>
  <c r="F83" i="75"/>
  <c r="BC7" i="98"/>
  <c r="BC8" i="98"/>
  <c r="F99" i="40"/>
  <c r="F97" i="40"/>
  <c r="F101" i="40"/>
  <c r="F100" i="40"/>
  <c r="F102" i="40"/>
  <c r="BA7" i="98"/>
  <c r="F68" i="75"/>
  <c r="BH7" i="98"/>
  <c r="BH8" i="98"/>
  <c r="N56" i="47"/>
  <c r="E71" i="83"/>
  <c r="G71" i="83"/>
  <c r="D72" i="83"/>
  <c r="G69" i="83"/>
  <c r="D70" i="83"/>
  <c r="E6" i="85"/>
  <c r="E75" i="83"/>
  <c r="G75" i="83"/>
  <c r="D76" i="83"/>
  <c r="G73" i="83"/>
  <c r="D74" i="83"/>
  <c r="M45" i="75"/>
  <c r="Q32" i="90"/>
  <c r="G32" i="90"/>
  <c r="M7" i="98"/>
  <c r="M8" i="98"/>
  <c r="F71" i="75"/>
  <c r="BA8" i="98"/>
  <c r="AZ7" i="98"/>
  <c r="AZ8" i="98"/>
  <c r="F44" i="75"/>
  <c r="I7" i="98"/>
  <c r="I8" i="98"/>
  <c r="N45" i="75"/>
  <c r="M49" i="75"/>
  <c r="N49" i="75"/>
  <c r="K47" i="75"/>
  <c r="P7" i="98"/>
  <c r="P8" i="98"/>
  <c r="F73" i="75"/>
  <c r="L47" i="75"/>
  <c r="F46" i="75"/>
  <c r="R7" i="98"/>
  <c r="R8" i="98"/>
  <c r="F48" i="75"/>
  <c r="S7" i="98"/>
  <c r="S8" i="98"/>
  <c r="O49" i="75"/>
  <c r="Q7" i="98"/>
  <c r="Q8" i="98"/>
  <c r="F76" i="75"/>
  <c r="J7" i="98"/>
  <c r="K7" i="98"/>
  <c r="K8" i="98"/>
  <c r="J8" i="98"/>
  <c r="B9" i="98"/>
  <c r="C8" i="98"/>
  <c r="J2" i="75"/>
</calcChain>
</file>

<file path=xl/comments1.xml><?xml version="1.0" encoding="utf-8"?>
<comments xmlns="http://schemas.openxmlformats.org/spreadsheetml/2006/main">
  <authors>
    <author>Ирина Романова</author>
    <author>Загрядська Олена Валеріївна</author>
  </authors>
  <commentList>
    <comment ref="C68" authorId="0">
      <text>
        <r>
          <rPr>
            <sz val="9"/>
            <color indexed="81"/>
            <rFont val="Tahoma"/>
            <family val="2"/>
            <charset val="204"/>
          </rPr>
          <t xml:space="preserve">
</t>
        </r>
        <r>
          <rPr>
            <sz val="16"/>
            <color indexed="81"/>
            <rFont val="Tahoma"/>
            <family val="2"/>
            <charset val="204"/>
          </rPr>
          <t>За умови що  № №7; 7А,
 №7БД; №8, №32 Ад без помилок</t>
        </r>
      </text>
    </comment>
    <comment ref="C71" authorId="1">
      <text>
        <r>
          <rPr>
            <sz val="14"/>
            <color indexed="81"/>
            <rFont val="Tahoma"/>
            <family val="2"/>
            <charset val="204"/>
          </rPr>
          <t>за умови, що №Д32_35, 32, 32Бд без помилок</t>
        </r>
        <r>
          <rPr>
            <b/>
            <sz val="9"/>
            <color indexed="81"/>
            <rFont val="Tahoma"/>
            <family val="2"/>
            <charset val="204"/>
          </rPr>
          <t xml:space="preserve">
</t>
        </r>
        <r>
          <rPr>
            <sz val="9"/>
            <color indexed="81"/>
            <rFont val="Tahoma"/>
            <family val="2"/>
            <charset val="204"/>
          </rPr>
          <t xml:space="preserve">
</t>
        </r>
      </text>
    </comment>
    <comment ref="C73" authorId="1">
      <text>
        <r>
          <rPr>
            <sz val="16"/>
            <color indexed="81"/>
            <rFont val="Times New Roman"/>
            <family val="1"/>
            <charset val="204"/>
          </rPr>
          <t>якщо перевірки №32,№33 без помилок</t>
        </r>
        <r>
          <rPr>
            <b/>
            <sz val="9"/>
            <color indexed="81"/>
            <rFont val="Tahoma"/>
            <family val="2"/>
            <charset val="204"/>
          </rPr>
          <t xml:space="preserve">
</t>
        </r>
        <r>
          <rPr>
            <sz val="9"/>
            <color indexed="81"/>
            <rFont val="Tahoma"/>
            <family val="2"/>
            <charset val="204"/>
          </rPr>
          <t xml:space="preserve">
</t>
        </r>
      </text>
    </comment>
    <comment ref="C76" authorId="1">
      <text>
        <r>
          <rPr>
            <sz val="14"/>
            <color indexed="81"/>
            <rFont val="Tahoma"/>
            <family val="2"/>
            <charset val="204"/>
          </rPr>
          <t>якщо перевірка №
34 без помилок</t>
        </r>
        <r>
          <rPr>
            <sz val="9"/>
            <color indexed="81"/>
            <rFont val="Tahoma"/>
            <family val="2"/>
            <charset val="204"/>
          </rPr>
          <t xml:space="preserve">
</t>
        </r>
      </text>
    </comment>
    <comment ref="C88" authorId="1">
      <text>
        <r>
          <rPr>
            <b/>
            <sz val="9"/>
            <color indexed="81"/>
            <rFont val="Tahoma"/>
            <family val="2"/>
            <charset val="204"/>
          </rPr>
          <t xml:space="preserve">за умови перевірки №37 без помилок
</t>
        </r>
        <r>
          <rPr>
            <sz val="9"/>
            <color indexed="81"/>
            <rFont val="Tahoma"/>
            <family val="2"/>
            <charset val="204"/>
          </rPr>
          <t xml:space="preserve">
</t>
        </r>
      </text>
    </comment>
  </commentList>
</comments>
</file>

<file path=xl/sharedStrings.xml><?xml version="1.0" encoding="utf-8"?>
<sst xmlns="http://schemas.openxmlformats.org/spreadsheetml/2006/main" count="3026" uniqueCount="1880">
  <si>
    <t>Ідентифікаційний код ЄДРПОУ</t>
  </si>
  <si>
    <t>код КОПФГ</t>
  </si>
  <si>
    <t>Термін подання</t>
  </si>
  <si>
    <t>№ 1-НС (щоквартальна)</t>
  </si>
  <si>
    <t>Повне найменування суб’єкта господарювання</t>
  </si>
  <si>
    <t>Електронна пошта</t>
  </si>
  <si>
    <t>№ з/п</t>
  </si>
  <si>
    <t>Найменування показника</t>
  </si>
  <si>
    <t>Звітний період</t>
  </si>
  <si>
    <t>1</t>
  </si>
  <si>
    <t>Від надання медичних та немедичних послуг за кошти фізичних і юридичних осіб</t>
  </si>
  <si>
    <t>Від отримання страхових виплат</t>
  </si>
  <si>
    <t>Від надання майна в оренду</t>
  </si>
  <si>
    <t>Благодійна допомога</t>
  </si>
  <si>
    <t xml:space="preserve">Інші надходження </t>
  </si>
  <si>
    <t>Лікарі</t>
  </si>
  <si>
    <t>Середній медичний персонал</t>
  </si>
  <si>
    <t>Молодший медичний персонал</t>
  </si>
  <si>
    <t>Нарахування на оплату праці</t>
  </si>
  <si>
    <t>Матеріальні витрати</t>
  </si>
  <si>
    <t>Лікарські засоби</t>
  </si>
  <si>
    <t xml:space="preserve">Продукти харчування </t>
  </si>
  <si>
    <t>Будівельні матеріали</t>
  </si>
  <si>
    <t>Паливно-мастильні матеріали</t>
  </si>
  <si>
    <t>М’який інвентар</t>
  </si>
  <si>
    <t>Господарські матеріали</t>
  </si>
  <si>
    <t>Предмети, матеріали та інвентар</t>
  </si>
  <si>
    <t>Інші операційні витрати</t>
  </si>
  <si>
    <t>Видатки на відрядження</t>
  </si>
  <si>
    <t>Підготовка (перепідготовка) кадрів  та підвищення кваліфікації</t>
  </si>
  <si>
    <t>Зовнішні послуги з медичної допомоги</t>
  </si>
  <si>
    <t>Зв'язок, інтернет</t>
  </si>
  <si>
    <t xml:space="preserve">Інші послуги </t>
  </si>
  <si>
    <t xml:space="preserve">Керівники </t>
  </si>
  <si>
    <t>Керівники структурних підрозділів</t>
  </si>
  <si>
    <t>Соціальне забезпечення</t>
  </si>
  <si>
    <t>Амортизація</t>
  </si>
  <si>
    <t>осіб</t>
  </si>
  <si>
    <t>№з/п</t>
  </si>
  <si>
    <t>Середня кількість працівників, всього, у тому числі</t>
  </si>
  <si>
    <t>середня кількість зовнішніх сумісників</t>
  </si>
  <si>
    <t>середня кількість працюючих за цивільно-правовими договорами</t>
  </si>
  <si>
    <t>Пожежна охорона</t>
  </si>
  <si>
    <t>Інші матеріальні витрати</t>
  </si>
  <si>
    <t>Податки</t>
  </si>
  <si>
    <t>Банківське обслуговування</t>
  </si>
  <si>
    <t>Інші витрати</t>
  </si>
  <si>
    <t>Запаси</t>
  </si>
  <si>
    <t>Купівельні напівфабрикати та комплектуючі вироби</t>
  </si>
  <si>
    <t>Тара й тарні матеріали</t>
  </si>
  <si>
    <t>Матеріали, передані в переробку</t>
  </si>
  <si>
    <t>Запасні частини</t>
  </si>
  <si>
    <t>Інші матеріали</t>
  </si>
  <si>
    <t>Доходи майбутніх періодів</t>
  </si>
  <si>
    <t>Охорона</t>
  </si>
  <si>
    <t>Неопераційні витрати</t>
  </si>
  <si>
    <t>Код рядка</t>
  </si>
  <si>
    <t xml:space="preserve"> 2.1</t>
  </si>
  <si>
    <t xml:space="preserve"> 2.2</t>
  </si>
  <si>
    <t xml:space="preserve"> 2.1.1</t>
  </si>
  <si>
    <t xml:space="preserve"> 2.1.2</t>
  </si>
  <si>
    <t xml:space="preserve"> 2.1.3</t>
  </si>
  <si>
    <t xml:space="preserve"> 2.3</t>
  </si>
  <si>
    <t xml:space="preserve"> 2.4</t>
  </si>
  <si>
    <t xml:space="preserve"> 2.5</t>
  </si>
  <si>
    <t xml:space="preserve"> 2.6</t>
  </si>
  <si>
    <t xml:space="preserve"> 2.7</t>
  </si>
  <si>
    <t xml:space="preserve"> 2.8</t>
  </si>
  <si>
    <t xml:space="preserve"> 2.9</t>
  </si>
  <si>
    <t xml:space="preserve"> 3.1</t>
  </si>
  <si>
    <t xml:space="preserve"> 3.2</t>
  </si>
  <si>
    <t xml:space="preserve"> 3.3</t>
  </si>
  <si>
    <t xml:space="preserve"> 3.4</t>
  </si>
  <si>
    <t xml:space="preserve"> 3.1.1</t>
  </si>
  <si>
    <t xml:space="preserve"> 3.1.2</t>
  </si>
  <si>
    <t xml:space="preserve"> 3.1.3</t>
  </si>
  <si>
    <t xml:space="preserve"> 3.2.1</t>
  </si>
  <si>
    <t xml:space="preserve"> 3.2.2</t>
  </si>
  <si>
    <t xml:space="preserve"> 3.2.3</t>
  </si>
  <si>
    <t xml:space="preserve"> 3.4.1</t>
  </si>
  <si>
    <t xml:space="preserve"> 3.4.2</t>
  </si>
  <si>
    <t>грошові кошти</t>
  </si>
  <si>
    <t>2</t>
  </si>
  <si>
    <t xml:space="preserve"> 2.1.4</t>
  </si>
  <si>
    <t xml:space="preserve"> 2.1.5</t>
  </si>
  <si>
    <t xml:space="preserve">Місцезнаходження (юридична адреса)
______________________________________________________________________________________________________________________________________________________
№ будинку /корпусу, № квартири /офісу)
</t>
  </si>
  <si>
    <t>Адреса здійснення діяльності, щодо якої подається форма звітності (фактична адреса)</t>
  </si>
  <si>
    <t>Відповідний період минулого року</t>
  </si>
  <si>
    <t>№ 
з/п</t>
  </si>
  <si>
    <t>1.1.</t>
  </si>
  <si>
    <t>1.2.</t>
  </si>
  <si>
    <t>1.3.</t>
  </si>
  <si>
    <t>Вироби медичного призначення та допоміжні засоби слуху, зору, руху, засоби протезування для кардіології, ендопротезів, інші протези тощо</t>
  </si>
  <si>
    <t>номер телефону виконавця</t>
  </si>
  <si>
    <t>Дохід від реалізаціі, всього</t>
  </si>
  <si>
    <t>Аванси</t>
  </si>
  <si>
    <t>Оплати</t>
  </si>
  <si>
    <t>Актив</t>
  </si>
  <si>
    <t>На початок звітного періоду</t>
  </si>
  <si>
    <t>На кінець звітного періоду</t>
  </si>
  <si>
    <t>Нематеріальні активи</t>
  </si>
  <si>
    <t xml:space="preserve">    первісна вартість </t>
  </si>
  <si>
    <t>Незавершені капітальні інвестиції</t>
  </si>
  <si>
    <t>Основні засоби</t>
  </si>
  <si>
    <t>Інвестиційна нерухомість</t>
  </si>
  <si>
    <t>Довгострокові біологічні активи</t>
  </si>
  <si>
    <t>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</si>
  <si>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</si>
  <si>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</si>
  <si>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</si>
  <si>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</si>
  <si>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</si>
  <si>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Поточні біологічні активи </t>
  </si>
  <si>
    <t>Дебіторська заборгованість за продукцію, товари, роботи, послуги</t>
  </si>
  <si>
    <t xml:space="preserve">    за виданими авансами</t>
  </si>
  <si>
    <t xml:space="preserve">    з бюджетом</t>
  </si>
  <si>
    <t xml:space="preserve">    у тому числі з податку на прибуток</t>
  </si>
  <si>
    <t xml:space="preserve">Поточні фінансові інвестиції </t>
  </si>
  <si>
    <t xml:space="preserve">Гроші та їх еквіваленти </t>
  </si>
  <si>
    <t>Витрати майбутніх періодів</t>
  </si>
  <si>
    <t xml:space="preserve">Інші оборотні активи </t>
  </si>
  <si>
    <t xml:space="preserve">Усього за розділом II </t>
  </si>
  <si>
    <t>III. Необоротні активи, утримувані для продажу, та групи вибуття</t>
  </si>
  <si>
    <t xml:space="preserve">Баланс </t>
  </si>
  <si>
    <t>Пасив</t>
  </si>
  <si>
    <t>Капітал у дооцінках</t>
  </si>
  <si>
    <t xml:space="preserve">Додатковий капітал </t>
  </si>
  <si>
    <t xml:space="preserve">Резервний капітал </t>
  </si>
  <si>
    <t xml:space="preserve">Нерозподілений прибуток (непокритий збиток) </t>
  </si>
  <si>
    <t xml:space="preserve">Неоплачений капітал </t>
  </si>
  <si>
    <t xml:space="preserve">Вилучений капітал </t>
  </si>
  <si>
    <t>Усього за розділом I</t>
  </si>
  <si>
    <t>Відстрочені податкові зобов’язання</t>
  </si>
  <si>
    <t>Довгострокові кредити банків</t>
  </si>
  <si>
    <t>Інші довгострокові зобов’язання</t>
  </si>
  <si>
    <t>Довгострокові забезпечення</t>
  </si>
  <si>
    <t>Усього за розділом II</t>
  </si>
  <si>
    <t xml:space="preserve">Короткострокові кредити банків </t>
  </si>
  <si>
    <t xml:space="preserve">    довгостроковими зобов’язаннями </t>
  </si>
  <si>
    <t xml:space="preserve">    розрахунками з бюджетом</t>
  </si>
  <si>
    <t xml:space="preserve">    розрахунками зі страхування</t>
  </si>
  <si>
    <t>Поточні забезпечення</t>
  </si>
  <si>
    <t>Інші поточні зобов’язання</t>
  </si>
  <si>
    <t>Усього за розділом IІІ</t>
  </si>
  <si>
    <t xml:space="preserve">    товари, роботи, послуги</t>
  </si>
  <si>
    <t>за депонентами</t>
  </si>
  <si>
    <t>за іншими виплатами</t>
  </si>
  <si>
    <t xml:space="preserve">    розрахунками з оплати праці, у тому числі</t>
  </si>
  <si>
    <t xml:space="preserve">    у тому числі за ПМГ</t>
  </si>
  <si>
    <t>Послуги з харчування</t>
  </si>
  <si>
    <t>Послуги з прання</t>
  </si>
  <si>
    <t>ТО медобладнання</t>
  </si>
  <si>
    <t>Заробітна плата</t>
  </si>
  <si>
    <t>ТО/обслуговування ННМА (ППЗ)</t>
  </si>
  <si>
    <t>ТО ліфти, ПК, оргтехніка, телефони</t>
  </si>
  <si>
    <t>Страхування</t>
  </si>
  <si>
    <t>ТО/сервісне обслуговування/поверка  НМА</t>
  </si>
  <si>
    <t xml:space="preserve"> 1.1.1.1</t>
  </si>
  <si>
    <t xml:space="preserve"> 1.</t>
  </si>
  <si>
    <t xml:space="preserve"> 1.1</t>
  </si>
  <si>
    <t xml:space="preserve"> 1.1.1</t>
  </si>
  <si>
    <t xml:space="preserve"> 1.1.1.2</t>
  </si>
  <si>
    <t xml:space="preserve"> 1.1.1.3</t>
  </si>
  <si>
    <t xml:space="preserve"> 1.1.1.4</t>
  </si>
  <si>
    <t xml:space="preserve"> 1.1.1.5</t>
  </si>
  <si>
    <t xml:space="preserve"> 1.1.1.6</t>
  </si>
  <si>
    <t xml:space="preserve"> 1.1.2</t>
  </si>
  <si>
    <t xml:space="preserve"> 1.1.3</t>
  </si>
  <si>
    <t xml:space="preserve"> 1.1.4</t>
  </si>
  <si>
    <t xml:space="preserve"> 1.1.4.1</t>
  </si>
  <si>
    <t xml:space="preserve"> 1.1.4.1.1</t>
  </si>
  <si>
    <t xml:space="preserve"> 1.1.4.1.2</t>
  </si>
  <si>
    <t xml:space="preserve"> 1.1.4.1.3</t>
  </si>
  <si>
    <t xml:space="preserve"> 1.1.4.1.4</t>
  </si>
  <si>
    <t>Медикаменти та перев'язувальні матеріали</t>
  </si>
  <si>
    <t xml:space="preserve"> 1.1.4.2</t>
  </si>
  <si>
    <t xml:space="preserve"> 1.1.4.3</t>
  </si>
  <si>
    <t xml:space="preserve"> 1.1.4.4</t>
  </si>
  <si>
    <t xml:space="preserve"> 1.1.4.5</t>
  </si>
  <si>
    <t xml:space="preserve"> 1.1.4.6</t>
  </si>
  <si>
    <t xml:space="preserve"> 1.1.4.7</t>
  </si>
  <si>
    <t xml:space="preserve"> 1.1.4.8</t>
  </si>
  <si>
    <t xml:space="preserve"> 1.1.4.10</t>
  </si>
  <si>
    <t xml:space="preserve"> 1.1.4.11</t>
  </si>
  <si>
    <t xml:space="preserve"> 1.1.5</t>
  </si>
  <si>
    <t xml:space="preserve"> 1.2</t>
  </si>
  <si>
    <t>Статті витрат</t>
  </si>
  <si>
    <t>https://zakon.rada.gov.ua/laws/show/z1442-05</t>
  </si>
  <si>
    <t xml:space="preserve">З обласного, районного та бюджету місцевого самоврядування </t>
  </si>
  <si>
    <t>Матеріальні витрати </t>
  </si>
  <si>
    <t>Витрати на оплату праці </t>
  </si>
  <si>
    <t>Відрахування на соціальні заходи </t>
  </si>
  <si>
    <t>Амортизація </t>
  </si>
  <si>
    <t>Амортизація основних засобів </t>
  </si>
  <si>
    <t>Амортизація інших необоротних матеріальних активів </t>
  </si>
  <si>
    <t>Амортизація нематеріальних активів </t>
  </si>
  <si>
    <t>Інші операційні витрати </t>
  </si>
  <si>
    <t>Надходження, всього</t>
  </si>
  <si>
    <t>Сировина й матеріали, у тому числі</t>
  </si>
  <si>
    <t xml:space="preserve">Модернізація, модифікація (добудова, реконструкція) </t>
  </si>
  <si>
    <t>Капітальний ремонт</t>
  </si>
  <si>
    <t>Придбання (виготовлення) основних засобів</t>
  </si>
  <si>
    <t>Модернізація, модифікація основних засобів</t>
  </si>
  <si>
    <t>Капітальний ремонт основних засобів</t>
  </si>
  <si>
    <t>Придбання (виготовлення) інших необоротних матеріальних активів</t>
  </si>
  <si>
    <t>Придбання (створення) необоротних нематеріальних активів</t>
  </si>
  <si>
    <t>Модернізація, модифікація  ННМА</t>
  </si>
  <si>
    <t>З державного бюджету (в т.ч. централізовані закупівлі, тощо)</t>
  </si>
  <si>
    <t>Подають</t>
  </si>
  <si>
    <t>Готової продукції</t>
  </si>
  <si>
    <t>Товарів </t>
  </si>
  <si>
    <t>Оплата комунальних послуг та інших  енергоносіїв  (тепло, електроенергія, вода, інше)</t>
  </si>
  <si>
    <t>4.1.</t>
  </si>
  <si>
    <t>4.1.1.</t>
  </si>
  <si>
    <t>4.1.2.</t>
  </si>
  <si>
    <t>4.1.3.</t>
  </si>
  <si>
    <t>4.1.3.1.</t>
  </si>
  <si>
    <t>4.1.4.</t>
  </si>
  <si>
    <t>Витрати за елементами, всього, у тому числі </t>
  </si>
  <si>
    <t xml:space="preserve">номер телефону керівника (власника) та/або особи, відповідальної за достовірність наданої інформації                                                                                     </t>
  </si>
  <si>
    <t xml:space="preserve">ПІБ керівника (власника) та/або особи, відповідальної за достовірність наданої інформації     </t>
  </si>
  <si>
    <t xml:space="preserve">ПІБ виконавця   </t>
  </si>
  <si>
    <t>електронна пошта виконавця</t>
  </si>
  <si>
    <t>ТО, сервісне обслуговування авто</t>
  </si>
  <si>
    <t>Інші працівники</t>
  </si>
  <si>
    <t>за заробітною платою</t>
  </si>
  <si>
    <t>Інше ТО та обслуговування</t>
  </si>
  <si>
    <t>Виробнича собівартість, всього, у тому числі</t>
  </si>
  <si>
    <t>Додаток до звіту про доходи та витрати
Надходження ПМГ</t>
  </si>
  <si>
    <t>Первинна медична допомога</t>
  </si>
  <si>
    <t>Екстрена медична допомога</t>
  </si>
  <si>
    <t>Хірургічні операції дорослим та дітям у стаціонарних умовах</t>
  </si>
  <si>
    <t>Стаціонарна допомога дорослим та дітям без проведення хірургічних операцій</t>
  </si>
  <si>
    <t>Медична допомога при гострому мозковому інсульті в стаціонарних умовах</t>
  </si>
  <si>
    <t>Медична допомога при гострому інфаркті міокарда</t>
  </si>
  <si>
    <t>Амбулаторна вторинна (спеціалізована) та третинна (високоспеціалізована) медична допомога дорослим та дітям, включаючи медичну реабілітацію та стоматологічну допомогу</t>
  </si>
  <si>
    <t xml:space="preserve">Мамографія </t>
  </si>
  <si>
    <t>Гістероскопія</t>
  </si>
  <si>
    <t>Езофагодуоденоскопія</t>
  </si>
  <si>
    <t>Колоноскопія</t>
  </si>
  <si>
    <t>Цистосокія</t>
  </si>
  <si>
    <t>Бронхоскопія</t>
  </si>
  <si>
    <t>Лікування пацієнтів методом екстракорпорального гемодіалізу в амбулаторних умовах</t>
  </si>
  <si>
    <t>Діагностика та хіміотерапевтичне лікування онкологічних захворювань у дорослих та дітей</t>
  </si>
  <si>
    <t>Діагностика та радіологічне лікування онкологічних захворювань у дорослих та дітей</t>
  </si>
  <si>
    <t>Психіатрична допомога дорослим та дітям</t>
  </si>
  <si>
    <t>Лікування дорослих та дітей із туберкульозом</t>
  </si>
  <si>
    <t>Діагностика, лікування та супровід осіб із ВІЛ</t>
  </si>
  <si>
    <t>Лікування осіб із психічними та поведінковими розладами внаслідок вживання опіоїдів із використанням препаратів замісної підтримувальної терапії</t>
  </si>
  <si>
    <t>Стаціонарна паліативна медична допомога дорослим та дітям</t>
  </si>
  <si>
    <t>Мобільна паліативна медична допомога дорослим і дітям</t>
  </si>
  <si>
    <t>Медична реабілітація немовлят, які народилися передчасно та/або хворими, протягом перших трьох років життя</t>
  </si>
  <si>
    <t>Медична реабілітація дорослих та дітей від трьох років з ураженням опорно-рухового апарату</t>
  </si>
  <si>
    <t>Медична реабілітація дорослих та дітей від трьох років з ураженням нервової системи</t>
  </si>
  <si>
    <t>Медична допомога при пологах</t>
  </si>
  <si>
    <t>Медична допомога новонародженим у складних неонатальних випадках</t>
  </si>
  <si>
    <t>Додаток до звіту про доходи та витрати
Доходи ПМГ</t>
  </si>
  <si>
    <t>Доходи, всього</t>
  </si>
  <si>
    <t>Послуги (крім комунальних)</t>
  </si>
  <si>
    <t xml:space="preserve">    накопичена амортизація (-)</t>
  </si>
  <si>
    <t xml:space="preserve">    знос (-)</t>
  </si>
  <si>
    <t>Всього</t>
  </si>
  <si>
    <t>гривень</t>
  </si>
  <si>
    <t>Адміністративні витрати (92)</t>
  </si>
  <si>
    <t>код статті витрат</t>
  </si>
  <si>
    <t>Готова продукція</t>
  </si>
  <si>
    <t>Товари</t>
  </si>
  <si>
    <t>Роботи та послуги</t>
  </si>
  <si>
    <t>5.1.1.</t>
  </si>
  <si>
    <t>5.1.1.1</t>
  </si>
  <si>
    <t>5.1.1.2</t>
  </si>
  <si>
    <t>5.1.1.3</t>
  </si>
  <si>
    <t>Інші джерела надходжень</t>
  </si>
  <si>
    <t xml:space="preserve">Всього </t>
  </si>
  <si>
    <t>Виробничі (23) та загальновиробничі (91) витрати</t>
  </si>
  <si>
    <t>Елементи витрат</t>
  </si>
  <si>
    <t>Всього витрати</t>
  </si>
  <si>
    <t>1.</t>
  </si>
  <si>
    <t>4</t>
  </si>
  <si>
    <t>Дохід, всього</t>
  </si>
  <si>
    <r>
      <t>Витрати (</t>
    </r>
    <r>
      <rPr>
        <sz val="14"/>
        <rFont val="Times New Roman"/>
        <family val="1"/>
        <charset val="204"/>
      </rPr>
      <t>без амортизації</t>
    </r>
    <r>
      <rPr>
        <b/>
        <sz val="14"/>
        <rFont val="Times New Roman"/>
        <family val="1"/>
        <charset val="204"/>
      </rPr>
      <t>)</t>
    </r>
  </si>
  <si>
    <t>4.2.</t>
  </si>
  <si>
    <t>4.3.</t>
  </si>
  <si>
    <t>Місцезнаходження (юридична адреса)</t>
  </si>
  <si>
    <t>Нове будівництво</t>
  </si>
  <si>
    <t>I. Необоротні активи</t>
  </si>
  <si>
    <t>Довгострокові фінансові інвестиції:</t>
  </si>
  <si>
    <t>II. Довгострокові зобов’язання і забезпечення</t>
  </si>
  <si>
    <t>IІІ. Поточні зобов’язання і забезпечення</t>
  </si>
  <si>
    <t>Поточна кредиторська заборгованість за:</t>
  </si>
  <si>
    <t xml:space="preserve">II. Оборотні активи </t>
  </si>
  <si>
    <t xml:space="preserve">I. Власний капітал </t>
  </si>
  <si>
    <t xml:space="preserve">Доходи за програмою медичних гарантій за пакетами медичних послуг </t>
  </si>
  <si>
    <t>Виробничі витрати (903)</t>
  </si>
  <si>
    <t>Витрати на виготовлення продукції (для тих, хто виготовляє власну продукцію, яка потім поступає на склад)</t>
  </si>
  <si>
    <t>Надходження за програмою медичних гарантій за пакетами медичних послуг</t>
  </si>
  <si>
    <t>-</t>
  </si>
  <si>
    <t>Питома вага, %</t>
  </si>
  <si>
    <t>продовження</t>
  </si>
  <si>
    <t xml:space="preserve">суб’єкти господарювання, що уклали договір про медичне обслуговування населення за програмою медичних гарантій </t>
  </si>
  <si>
    <t xml:space="preserve"> 1.1.5.1</t>
  </si>
  <si>
    <t xml:space="preserve"> 1.1.5.2</t>
  </si>
  <si>
    <t xml:space="preserve"> 1.1.5.3</t>
  </si>
  <si>
    <t xml:space="preserve"> 1.1.5.4</t>
  </si>
  <si>
    <t xml:space="preserve"> 1.1.5.5</t>
  </si>
  <si>
    <t xml:space="preserve"> 1.1.5.5.1</t>
  </si>
  <si>
    <t xml:space="preserve"> 1.1.5.5.2</t>
  </si>
  <si>
    <t xml:space="preserve"> 1.1.5.5.3</t>
  </si>
  <si>
    <t xml:space="preserve"> 1.1.5.5.4</t>
  </si>
  <si>
    <t xml:space="preserve"> 1.1.5.5.5</t>
  </si>
  <si>
    <t xml:space="preserve"> 1.1.5.6</t>
  </si>
  <si>
    <t xml:space="preserve"> 1.1.5.7</t>
  </si>
  <si>
    <t xml:space="preserve"> 1.1.5.8</t>
  </si>
  <si>
    <t xml:space="preserve"> 1.1.5.9</t>
  </si>
  <si>
    <t xml:space="preserve"> 1.1.5.10</t>
  </si>
  <si>
    <t xml:space="preserve"> 1.1.5.11</t>
  </si>
  <si>
    <t xml:space="preserve"> 1.1.5.12</t>
  </si>
  <si>
    <t xml:space="preserve"> 1.1.5.13</t>
  </si>
  <si>
    <t xml:space="preserve"> 1.1.5.14</t>
  </si>
  <si>
    <t xml:space="preserve"> 1.1.5.15</t>
  </si>
  <si>
    <t>Засоби індивідуального захисту</t>
  </si>
  <si>
    <t>6.</t>
  </si>
  <si>
    <t>6.1.</t>
  </si>
  <si>
    <t>6.2.</t>
  </si>
  <si>
    <t>6.3.</t>
  </si>
  <si>
    <t>6.4.</t>
  </si>
  <si>
    <t>6.5.</t>
  </si>
  <si>
    <t>6.6.</t>
  </si>
  <si>
    <t>середньооблікова кількість штатних працівників*</t>
  </si>
  <si>
    <r>
      <t>Кількість відпрацьованих</t>
    </r>
    <r>
      <rPr>
        <sz val="12"/>
        <color indexed="8"/>
        <rFont val="Times New Roman"/>
        <family val="1"/>
        <charset val="204"/>
      </rPr>
      <t xml:space="preserve"> </t>
    </r>
    <r>
      <rPr>
        <sz val="12"/>
        <color indexed="8"/>
        <rFont val="Times New Roman"/>
        <family val="1"/>
        <charset val="204"/>
      </rPr>
      <t>людино-годин**</t>
    </r>
  </si>
  <si>
    <t>Повернення 
( - )</t>
  </si>
  <si>
    <t>№ 1-НС (квартальна)</t>
  </si>
  <si>
    <t>ІV. Зобов’язання, пов’язані з необоротними активами,  у тому числі утримуваними для продажу та групами вибуття</t>
  </si>
  <si>
    <t xml:space="preserve">
Капітальні інвестиції, всього</t>
  </si>
  <si>
    <t>Робіт та послуг, у тому числі</t>
  </si>
  <si>
    <t>Дебіторська заборгованість за розрахунками:</t>
  </si>
  <si>
    <t xml:space="preserve"> </t>
  </si>
  <si>
    <t>тис. грн.</t>
  </si>
  <si>
    <t xml:space="preserve"> 1.1.4.1.5</t>
  </si>
  <si>
    <t>Дезинфекційні засоби</t>
  </si>
  <si>
    <t>Матеріали сільськогосподарського призначення</t>
  </si>
  <si>
    <t xml:space="preserve">Зайняті у наданні медичних послуг </t>
  </si>
  <si>
    <t>Достатність умови</t>
  </si>
  <si>
    <t>Необхідна</t>
  </si>
  <si>
    <t>Доопрацювання</t>
  </si>
  <si>
    <t>активи на початок</t>
  </si>
  <si>
    <t>пасиви на початок</t>
  </si>
  <si>
    <t>активи на кінець</t>
  </si>
  <si>
    <t>пасиви на кінець</t>
  </si>
  <si>
    <t xml:space="preserve">Доопрацювання </t>
  </si>
  <si>
    <t>витрати</t>
  </si>
  <si>
    <t>індивідуальний аналіз</t>
  </si>
  <si>
    <t>Якщо первісна вартість ОЗ та НМА на початок періоду не дорівнює зносу, то амортизація не дорівнює 0</t>
  </si>
  <si>
    <t>Надходження, придбання ТМЦ, капітальні інвестиції</t>
  </si>
  <si>
    <t>Сума надходжень (грошові кошти) всього (бюджети) &gt;= відповідні придбання ТМЦ + КАПінвестиції (бюджети)</t>
  </si>
  <si>
    <t>Доходи</t>
  </si>
  <si>
    <t xml:space="preserve">Роботи та послуги (з додатка Доходи ПМГ) &gt; 0 </t>
  </si>
  <si>
    <t>Витрати</t>
  </si>
  <si>
    <t>Якщо 703ПМГ (Дохід ПМГ)  &gt; 0 то 903 &gt;= 0.5*703 ПМГ</t>
  </si>
  <si>
    <t>Витрати на оплату праці</t>
  </si>
  <si>
    <t>Пасиви =Активи  Баланс</t>
  </si>
  <si>
    <t>Достатня</t>
  </si>
  <si>
    <t>36СдК ПМГ  
(розрахункове)</t>
  </si>
  <si>
    <t>681СдК ПМГ 
(розрахункове)</t>
  </si>
  <si>
    <t>* без врахування перебуваючих  у відпустці  для  догляду  за  дитиною  до досягнення  нею  віку,  передбаченого  чинним  законодавством  або колективним договором підприємства</t>
  </si>
  <si>
    <t>** проставляють суб’єкти  господарювання із кількістю працівників 50 і більше осіб та ті, що приймають участь  у вибірковому обстеженні підприємств із питань статистики праці із кількістю працівників від 10 до 49 осіб включно</t>
  </si>
  <si>
    <t>р.1 керівники таблиці 8</t>
  </si>
  <si>
    <t>р.1 гр. 5 "Виконують адміністративні та управлінські функції" таблиці 8</t>
  </si>
  <si>
    <t>Керівники - Якщо є видатки у р.1.1.1.1. гр.4 таблиці 7, то має бути чисельність у р.1 керівники таблиці 8</t>
  </si>
  <si>
    <t>р.1.1.1.1. гр. 4 таблиці 7</t>
  </si>
  <si>
    <t>Витрати на оплату праці (таблиці 7 и 5.1 з врахуванням витрат на виготовлення власної продукції)</t>
  </si>
  <si>
    <t>р.1.1.1.2. гр.8 таблиці 7 (92)</t>
  </si>
  <si>
    <t>р.1 гр. 6 "Зайняті у наданні медичних послуг" таблиці 8</t>
  </si>
  <si>
    <t>р.1.1.1.3. гр.4 таблиці 7</t>
  </si>
  <si>
    <t>Лікарі - Якщо є видатки у р.1.1.1.3. гр.4 таблиці 7, то має бути чисельність у р.1 гр. 7 "Лікарі" таблиці 8</t>
  </si>
  <si>
    <t>р.1 гр. 7 "Лікарі" таблиці 8</t>
  </si>
  <si>
    <t>р.1.1.1.4. гр.4 таблиці 7</t>
  </si>
  <si>
    <t>р.1 гр. 8 "Середній медичний первсонал" таблиці 8</t>
  </si>
  <si>
    <t>р.1.1.1.5. гр.4 таблиці 7</t>
  </si>
  <si>
    <t>р.1 гр. 9 "Молодший медичний персонал" таблиці 8</t>
  </si>
  <si>
    <t>р.1.1.1.6. гр.8 таблиці 7 (92)</t>
  </si>
  <si>
    <t>р.1 гр. 11 "Зайняті у наданні медичних послуг" таблиці 8</t>
  </si>
  <si>
    <t>р.1 гр. 10 "Виконують адміністративні та загальногосподарські функції" таблиці 8</t>
  </si>
  <si>
    <t>Середній медичний первсонал - Якщо є видатки у р.1.1.1.4. гр.4 таблиці 7, то має бути чисельність у р.1 гр. 8 "Середній медичний первсонал" таблиці 8</t>
  </si>
  <si>
    <t>Молодший медичний персонал- Якщо є видатки у р.1.1.1.5. гр.4 таблиці 7, то має бути чисельність у р.1 гр.9 "Молодший медичний персонал" таблиці 8</t>
  </si>
  <si>
    <t>сума активи + пасиви на кінець періода не = 0, то ПРАВДА</t>
  </si>
  <si>
    <t xml:space="preserve">Коригування </t>
  </si>
  <si>
    <t>На початок звітного періоду з урахуванням коригування</t>
  </si>
  <si>
    <t>№1</t>
  </si>
  <si>
    <t>№2</t>
  </si>
  <si>
    <t>№3</t>
  </si>
  <si>
    <t>№4</t>
  </si>
  <si>
    <t>№5</t>
  </si>
  <si>
    <t>№6</t>
  </si>
  <si>
    <t>№7</t>
  </si>
  <si>
    <t>№8</t>
  </si>
  <si>
    <t>№12</t>
  </si>
  <si>
    <t>№13</t>
  </si>
  <si>
    <t>№14</t>
  </si>
  <si>
    <t>№15</t>
  </si>
  <si>
    <t>№16</t>
  </si>
  <si>
    <t>№17</t>
  </si>
  <si>
    <t>№18</t>
  </si>
  <si>
    <t>№19</t>
  </si>
  <si>
    <t>№20</t>
  </si>
  <si>
    <t>№21</t>
  </si>
  <si>
    <t>№22</t>
  </si>
  <si>
    <t>№23</t>
  </si>
  <si>
    <t>№24</t>
  </si>
  <si>
    <t>№25</t>
  </si>
  <si>
    <t>№26</t>
  </si>
  <si>
    <t>№27</t>
  </si>
  <si>
    <t>№28</t>
  </si>
  <si>
    <t>№29</t>
  </si>
  <si>
    <t>№30</t>
  </si>
  <si>
    <t>№31</t>
  </si>
  <si>
    <t>№32</t>
  </si>
  <si>
    <t>№33</t>
  </si>
  <si>
    <t>№34</t>
  </si>
  <si>
    <t>№35</t>
  </si>
  <si>
    <t>№1.1</t>
  </si>
  <si>
    <t>№3А</t>
  </si>
  <si>
    <t>№3Б</t>
  </si>
  <si>
    <t>№7А</t>
  </si>
  <si>
    <t>№Д32_35</t>
  </si>
  <si>
    <t>№36</t>
  </si>
  <si>
    <t>№37</t>
  </si>
  <si>
    <t>Структура балансу</t>
  </si>
  <si>
    <t>На кінець звітного періоду з урахуванням коригування</t>
  </si>
  <si>
    <t>ПМГ</t>
  </si>
  <si>
    <t>Паливо</t>
  </si>
  <si>
    <t xml:space="preserve">при заповненні даних таблиці 8  керуватися Інструкцією зі статистики кількості працівників, затвердженої наказом Держстату від 28.09.2005 №286 </t>
  </si>
  <si>
    <t>придбання</t>
  </si>
  <si>
    <t>Середній медичний персонал (в тому числі фельдшери, парамедики)</t>
  </si>
  <si>
    <t>Інші операційні витрати (94)</t>
  </si>
  <si>
    <r>
      <t>ПМГ</t>
    </r>
    <r>
      <rPr>
        <sz val="16"/>
        <rFont val="Times New Roman"/>
        <family val="1"/>
        <charset val="204"/>
      </rPr>
      <t xml:space="preserve"> 
(додаток Надходження ПМГ)</t>
    </r>
  </si>
  <si>
    <t>Стаціонарна допомога пацієнтам з гострою респіраторною хворобою COVID-19, спричиненою коронавірусом SARS-CoV-2</t>
  </si>
  <si>
    <t>Екстрена медична допомога пацієнтам з підозрою або встановленим захворюванням на гостру респіраторну хворобу COVID-19, спричинену коронавірусом SARS-CoV-2</t>
  </si>
  <si>
    <t>Медична допомога, яка надається мобільними медичними бригадами, що утворені для реагування на гостру респіраторну хворобу COVID-19, спричинену коронавірусом SARS-CoV-2</t>
  </si>
  <si>
    <t>Стаціонарна медична допомога пацієнтам з гострою респіраторною хворобою COVID-19, спричиненою коронавірусом SARS-CoV-2, яка надається окремими закладами охорони здоров’я протягом квітня 2020 року</t>
  </si>
  <si>
    <t>Відповідний період минулого року 
(всього)</t>
  </si>
  <si>
    <t>Умовна</t>
  </si>
  <si>
    <t>надходження у натуральній формі</t>
  </si>
  <si>
    <t>Інше (грошові кошти та надходження у натуральній формі ) *</t>
  </si>
  <si>
    <t>Отримані як цільове фінансування</t>
  </si>
  <si>
    <t>Дебет</t>
  </si>
  <si>
    <t>Кредит</t>
  </si>
  <si>
    <t xml:space="preserve">Код рядка балансу </t>
  </si>
  <si>
    <t xml:space="preserve"> 4.2.1</t>
  </si>
  <si>
    <t xml:space="preserve"> 4.2.2</t>
  </si>
  <si>
    <t xml:space="preserve"> 4.2.3</t>
  </si>
  <si>
    <t>Інший операційний дохід, всього</t>
  </si>
  <si>
    <t>Цільовий інший операційний дохід</t>
  </si>
  <si>
    <t xml:space="preserve"> 4.2.4</t>
  </si>
  <si>
    <t>Неопераційний дохід, всього</t>
  </si>
  <si>
    <t>Т10.1</t>
  </si>
  <si>
    <t>Т10.2</t>
  </si>
  <si>
    <t>Т10.1.1</t>
  </si>
  <si>
    <t>Т10.1.2</t>
  </si>
  <si>
    <t>Т10..3</t>
  </si>
  <si>
    <t>Т10..3.1</t>
  </si>
  <si>
    <t>Т10..3.2</t>
  </si>
  <si>
    <t>Т.10.4</t>
  </si>
  <si>
    <t xml:space="preserve"> 4.3.1</t>
  </si>
  <si>
    <t xml:space="preserve"> 4.3.2</t>
  </si>
  <si>
    <t xml:space="preserve"> 4.3.3</t>
  </si>
  <si>
    <t>Т11.1</t>
  </si>
  <si>
    <t>Т11.2</t>
  </si>
  <si>
    <t>Т11.3</t>
  </si>
  <si>
    <t xml:space="preserve">  - </t>
  </si>
  <si>
    <t>\</t>
  </si>
  <si>
    <t>Т11.3.1</t>
  </si>
  <si>
    <t>Поточна кредиторська заборгованість за отриманими авансами, всього</t>
  </si>
  <si>
    <t>Інший неопераційний дохід</t>
  </si>
  <si>
    <t>Нематеріальні активи (ННМА)</t>
  </si>
  <si>
    <t xml:space="preserve">    накопичена амортизація</t>
  </si>
  <si>
    <t xml:space="preserve">    знос</t>
  </si>
  <si>
    <t>Капітал у дооцінках (411)</t>
  </si>
  <si>
    <t>Інше (інший операційний дохід)</t>
  </si>
  <si>
    <t>Інший операційний дохід від компенсаціій за комунальні платежі від орендаря</t>
  </si>
  <si>
    <t>Неопераційний дохід від амортизації  по НА та ОЗ, що отримані безоплатно (Дт 424 Кт 745)</t>
  </si>
  <si>
    <t>Неопераційний дохід, від амортизації по НА та ОЗ, що отримані як цільове фінансування  (Дт 69 Кт 745)</t>
  </si>
  <si>
    <t>Виконують загальновиробничі функції та забезпечують надання медичних послуг</t>
  </si>
  <si>
    <t>Інше (грошові кошти та надходження у натуральній формі</t>
  </si>
  <si>
    <t>Здійснено капітальних інвестицій у розрізі джерел фінансування</t>
  </si>
  <si>
    <t xml:space="preserve">Звітний період </t>
  </si>
  <si>
    <t>у тому числі за джерелами фінасування</t>
  </si>
  <si>
    <t>Сальдо на початок звітного періоду</t>
  </si>
  <si>
    <t>Стаття Балансу*</t>
  </si>
  <si>
    <t>Безоплатно отримані</t>
  </si>
  <si>
    <t xml:space="preserve">    первісна вартість (без дооцінки ННМА)</t>
  </si>
  <si>
    <t>дооцінка ННМА</t>
  </si>
  <si>
    <t xml:space="preserve">    первісна вартість (без дооцінки ОЗ)</t>
  </si>
  <si>
    <t>дооцінка ОЗ</t>
  </si>
  <si>
    <t xml:space="preserve"> Додаткові таблиці до Балансу</t>
  </si>
  <si>
    <t>Т12.1.</t>
  </si>
  <si>
    <t>Т12.2</t>
  </si>
  <si>
    <t>Т12.3</t>
  </si>
  <si>
    <t>Т12.4</t>
  </si>
  <si>
    <t>у тому числі  НА, ОЗ, що  придбані за кошти цільового фінансування</t>
  </si>
  <si>
    <t>Т12.4  (Дт 411 Кт 10)</t>
  </si>
  <si>
    <t>Т12.2. (Дт 69 Кт377)</t>
  </si>
  <si>
    <t>Дебет ОСВ</t>
  </si>
  <si>
    <t>Кредит ОСВ</t>
  </si>
  <si>
    <t>* заповнюється за данними господарських операцій в оборотно-сальдовій відомості (ОСВ)</t>
  </si>
  <si>
    <t>Дт 10,11,12 Кт 424</t>
  </si>
  <si>
    <t xml:space="preserve">Дебет 
(таблиця 12 Вибуття) </t>
  </si>
  <si>
    <t>Дебет
 (таблиця 10 Кредит - знос)</t>
  </si>
  <si>
    <t>Відхилення
Дохід - Кредит знос ( гр. 5 - гр. 7), якщо = 0, то ПРАВДА</t>
  </si>
  <si>
    <t>Відхилення 
Дт ОСВ (гр.4) та Дт (гр.5 + гр.6), якщо = 0, то ПРАВДА</t>
  </si>
  <si>
    <t>Відхилення 
Кт ОСВ (гр.10) та Кт (гр.11), якщо = 0, то ПРАВДА</t>
  </si>
  <si>
    <t>Амортизація (табл 6 п. 6.5) - (табл 4 + табл 14) &gt;=0, то ПРАВДА</t>
  </si>
  <si>
    <t>Дт для перевірок</t>
  </si>
  <si>
    <t>Кт для перевірок</t>
  </si>
  <si>
    <t>Таблиця 9. Баланс</t>
  </si>
  <si>
    <t>Таблиця 8. Кадри</t>
  </si>
  <si>
    <r>
      <t>Таблиця 4. Доходи</t>
    </r>
    <r>
      <rPr>
        <i/>
        <sz val="14"/>
        <rFont val="Times New Roman"/>
        <family val="1"/>
        <charset val="204"/>
      </rPr>
      <t>, гривень</t>
    </r>
  </si>
  <si>
    <r>
      <t>Таблиця 5. Витрати</t>
    </r>
    <r>
      <rPr>
        <i/>
        <sz val="14"/>
        <rFont val="Times New Roman"/>
        <family val="1"/>
        <charset val="204"/>
      </rPr>
      <t>, гривень</t>
    </r>
  </si>
  <si>
    <r>
      <t>Таблиця 5.1. Операційні та неопераційні витрати</t>
    </r>
    <r>
      <rPr>
        <i/>
        <sz val="14"/>
        <color indexed="8"/>
        <rFont val="Times New Roman"/>
        <family val="1"/>
        <charset val="204"/>
      </rPr>
      <t>, гривень</t>
    </r>
  </si>
  <si>
    <r>
      <t>Таблиця 6. Витрати за елементами</t>
    </r>
    <r>
      <rPr>
        <i/>
        <sz val="16"/>
        <color indexed="8"/>
        <rFont val="Times New Roman"/>
        <family val="1"/>
        <charset val="204"/>
      </rPr>
      <t>, гривень</t>
    </r>
  </si>
  <si>
    <t>Таблиця 3. Капітальні інвестиції</t>
  </si>
  <si>
    <t>Таблиця 1. Надходження</t>
  </si>
  <si>
    <t>Дт 48 Кт 69 на суму вартості введення в експлуатацію</t>
  </si>
  <si>
    <t>Цільове фінансування, безоплатно отримані НА</t>
  </si>
  <si>
    <t>Цільове фінасування</t>
  </si>
  <si>
    <t>Цільове фінасування, безоплатно отримані НА</t>
  </si>
  <si>
    <t>Таблиця 10. Рух активів в частині НА, ОЗ, капітальних інвестицій та запасів з врахуванням джерел надходжень</t>
  </si>
  <si>
    <t>Табл 10 Дт 10 ЦФ Кт 15 ЦФ
на суму вартості введення в експлуатацію</t>
  </si>
  <si>
    <t>Т10.1.2. гр.16 
Дт цільові видатки Кт 13 ЦФ</t>
  </si>
  <si>
    <t>Т10.1.3</t>
  </si>
  <si>
    <t>р.1.1.1.2. гр.6 таблиці 7 Виробничі (23) та загальновиробничі (91) витрати</t>
  </si>
  <si>
    <t>р.1.1.1.6. гр.6 таблиці 7 Виробничі (23) та загальновиробничі (91) витрати</t>
  </si>
  <si>
    <t>сальдо на початок періоду</t>
  </si>
  <si>
    <t>сальдо на кінець періоду</t>
  </si>
  <si>
    <t>Баланс Пасиви у % до Активів</t>
  </si>
  <si>
    <t>відхилення</t>
  </si>
  <si>
    <t xml:space="preserve">Баланс Актив Таблиця 9
Загальна сума (запаси  + незавершені капітальні інвестиції) на початок періоду </t>
  </si>
  <si>
    <t xml:space="preserve">Баланс Актив Таблиця 9
Загальна сума (запаси  + незавершені капітальні інвестиції) на кінець періоду </t>
  </si>
  <si>
    <t>Баланс Пасив Таблиця 9
Цільове фінансування на початок періоду в частині залишків запасів та незавершених капітальних інвестицій</t>
  </si>
  <si>
    <t>Баланс Пасив Таблиця 9
Цільове фінансування на кінець періоду в частині залишків запасів та незавершених капітальних інвестицій</t>
  </si>
  <si>
    <t>№36А</t>
  </si>
  <si>
    <t>№37А</t>
  </si>
  <si>
    <t>T13</t>
  </si>
  <si>
    <t>таблиця 10 
Нематеріальні активи + основні засоби на початок періоду, отримані безоплатно або як цільове фінансування (424 + 69)</t>
  </si>
  <si>
    <t>таблиця 10 
Нематеріальні активи + основні засоби на кінець періоду, отримані безоплатно або як цільове фінансування (424 + 69)</t>
  </si>
  <si>
    <t xml:space="preserve">Баланс Пасив Таблиця 9
капітал у дооцінках +  додатковий капітал   + доходи майбутніх  періодів (ОЗ та ННМА) на початок періоду  </t>
  </si>
  <si>
    <t xml:space="preserve">Баланс Пасив Таблиця 9
капітал у дооцінках +  додатковий капітал   + доходи майбутніх  періодів (ОЗ та ННМА) на кінець періоду  </t>
  </si>
  <si>
    <t>Баланс таблиця 9 Актив 
Загальна сума (Нематеріальні активи + основні засоби) на початок періоду</t>
  </si>
  <si>
    <t>Баланс таблиця 9 Актив 
Загальна сума (Нематеріальні активи + основні засоби) на кінець періоду</t>
  </si>
  <si>
    <t>Якщо Дт ЦФ р.Т10.2 гр. 11 = ЦФ таблиці 3 Капітальні інвестиції, то ПРАВДА</t>
  </si>
  <si>
    <t>Цільові витрати   
таблиця 5.1 р. 1.1, гр. 14</t>
  </si>
  <si>
    <t>Таблиця 5.1 гр. 14 цільові витрати запасів</t>
  </si>
  <si>
    <t>Т14.1</t>
  </si>
  <si>
    <t>Т14.2</t>
  </si>
  <si>
    <t>Т14.3</t>
  </si>
  <si>
    <t>дані щодо сальдо на початок та на кінець мають бути рівні у Балансі та Таблиці 11</t>
  </si>
  <si>
    <t>Т14.3.1</t>
  </si>
  <si>
    <t xml:space="preserve">Таблиця 14, р.Т14.3.1, гр.4
Дт 69 за даними оборотно-сальдової відомості
</t>
  </si>
  <si>
    <t>Таблиця 14, р.Т14.3.1, гр.10
Кт 69 за даними оборотно-сальдової відомості</t>
  </si>
  <si>
    <t>Перевірки №1,2</t>
  </si>
  <si>
    <t>Перевірка №3</t>
  </si>
  <si>
    <t>Дані перевірок №1,2,3 з таблиці 14, р. Т14.3.1.</t>
  </si>
  <si>
    <t>якщо дані =0, то ПРАВДА</t>
  </si>
  <si>
    <t>Таблиця 2
придбання ТМЦ</t>
  </si>
  <si>
    <t>Таблиця 4, р.4 гр.5
Дохід, всього</t>
  </si>
  <si>
    <t>Баланс
сума первісної вартості ОЗ та НМА</t>
  </si>
  <si>
    <t>Баланс
сума зносу ОЗ та НМА</t>
  </si>
  <si>
    <t>Таблиця 4 , р. 4.1.3, гр.5 
Дохід від реалізації робіт та послуг,  всього</t>
  </si>
  <si>
    <t xml:space="preserve">Таблиця 4, р. 4.1.3.1 гр.5 (з додатку Доходи ПМГ р.1 гр.5)
</t>
  </si>
  <si>
    <t>Таблиці 2, 3 
сума відповідні придбання ТМЦ + КАПінвестиції (ДБУ)</t>
  </si>
  <si>
    <t>Таблиці 2, 3 
сума відповідні придбання ТМЦ + КАПінвестиції (місцеві бюджети)</t>
  </si>
  <si>
    <t>Таблиця 1
надходження  грошових коштів (ДБУ)</t>
  </si>
  <si>
    <t>Таблиця 1
надходження грошових коштів (місцеві бюджети)</t>
  </si>
  <si>
    <t>Таблиці 2, 3
сума відповідні придбання ТМЦ + КАПінвестиції (ДБУ)</t>
  </si>
  <si>
    <t>Таблиці 2, 3
сума відповідні придбання ТМЦ + КАПінвестиції (місцеві бюджети)</t>
  </si>
  <si>
    <t>Баланс
цільове фінансування 48 сальдо на початок</t>
  </si>
  <si>
    <t>Сальдо на початок звітного періоду ОСВ</t>
  </si>
  <si>
    <t>дані щодо Кт мають бути рівні</t>
  </si>
  <si>
    <t xml:space="preserve">Таблиця 14, р.Т14.2, гр.4
Дт 424 за даними оборотно-сальдової відомості
</t>
  </si>
  <si>
    <t>Таблиця 14, р.Т14.2, гр.10
Кт 424 за даними оборотно-сальдової відомості</t>
  </si>
  <si>
    <t>дані щодо Дт мають бути рівні</t>
  </si>
  <si>
    <t>Таблиця 7. Оплата праці</t>
  </si>
  <si>
    <t>Таблиця 5.1. 
Оплата праці+витрати на виготовлення власної продукції</t>
  </si>
  <si>
    <t>Таблиця 10
Сальдо на початок звітного періоду</t>
  </si>
  <si>
    <t>Таблиця 10
Сальдо на кінець звітного періоду</t>
  </si>
  <si>
    <t>Т10.3.3</t>
  </si>
  <si>
    <t xml:space="preserve">ПМГ 
</t>
  </si>
  <si>
    <t>Таблиця 2. Придбання, оприбуткування ТМЦ</t>
  </si>
  <si>
    <t xml:space="preserve">
Придбання, оприбуткування ТМЦ, всього</t>
  </si>
  <si>
    <t>* Деталізація "Інше" з таблиці 1</t>
  </si>
  <si>
    <t>Інше (ПМГ та власні кошти)</t>
  </si>
  <si>
    <t xml:space="preserve">Цільове фінансування в частині залишків запасів та незавершених капітальних інвестицій (Пасив Балансу) складає не менше 25% загальної суми залишків запасів  та незавершених капітальних інвестицій (Актив Балансу)
</t>
  </si>
  <si>
    <t>71 ЦФ Цільовий інший операційний дохід
 р. 4.2.1., гр. 5  таблиця 4</t>
  </si>
  <si>
    <t>перевірка СдП</t>
  </si>
  <si>
    <t>перевірка СдК</t>
  </si>
  <si>
    <t>СдП Баланс та СдП таблиця 10</t>
  </si>
  <si>
    <t>СдК Баланс та СдК таблиця 10</t>
  </si>
  <si>
    <t>Якщо СдП  суми залишків капітальних інвестицій, що отримані з бюджету або як благодійна допомога з р.1525 Балансу = р. Т 10.2 гр.6  Капітальні інвестиції, отримані як ЦФ, то ПРАВДА</t>
  </si>
  <si>
    <t>р. Т 10.1 гр.4</t>
  </si>
  <si>
    <t>р. Т 10.1 гр.19</t>
  </si>
  <si>
    <t>Якщо СдП р.1000 Балансу = р. Т 10.1 гр.4  Нематеріальні активи, то ПРАВДА</t>
  </si>
  <si>
    <t>Якщо СдК р.1000 Балансу = р. Т 10.1 гр.19  Нематеріальні активи, то ПРАВДА</t>
  </si>
  <si>
    <t>таблиця 3 Капітальні інвестиції, всього</t>
  </si>
  <si>
    <t xml:space="preserve"> таблиця 3 Капітальні інвестиції ЦФ</t>
  </si>
  <si>
    <t>р. Т 10.3 гр.4</t>
  </si>
  <si>
    <t xml:space="preserve">р. Т 10.3 гр.19 </t>
  </si>
  <si>
    <t>Якщо СдП р.1010 Балансу = р. Т 10.3 гр.4  Основні засоби, то ПРАВДА</t>
  </si>
  <si>
    <t>Якщо СдК р.1010 Балансу = р. Т 10.3 гр.19  Основні засоби, то ПРАВДА</t>
  </si>
  <si>
    <t>Т10.2 гр.9</t>
  </si>
  <si>
    <t>Т10.2 гр.11</t>
  </si>
  <si>
    <t>Т10, р. 10.2 гр.6</t>
  </si>
  <si>
    <t>Перевірка запаси, тис. грн.</t>
  </si>
  <si>
    <t xml:space="preserve">Баланс СдП </t>
  </si>
  <si>
    <t>Т.10.4, гр.7</t>
  </si>
  <si>
    <t>розраховано за формулою</t>
  </si>
  <si>
    <t>Баланс СдК</t>
  </si>
  <si>
    <t>оборотів по Дт не може бути</t>
  </si>
  <si>
    <t>* якщо залишкова вартість ОЗ дорівнює 0, то значення не проставляються</t>
  </si>
  <si>
    <t>Отримано як статутний капітал</t>
  </si>
  <si>
    <t>Зареєстрований (статутний) капітал</t>
  </si>
  <si>
    <t>перевірка - дані щодо СлП та СдК у таблицях 9,10,11 мають бути дорівнювати між собою</t>
  </si>
  <si>
    <t>Оцінка</t>
  </si>
  <si>
    <t>Баланс 
запаси СдП</t>
  </si>
  <si>
    <t>Таблиця 10
запаси СдП</t>
  </si>
  <si>
    <t>Баланс запаси
СдК</t>
  </si>
  <si>
    <t xml:space="preserve">відхилення
СдК Баланс - СдК розраховане за формулою  </t>
  </si>
  <si>
    <t>відхилення
Баланс СдК - СдК таблиця 10 запаси</t>
  </si>
  <si>
    <t>розрахунково
Доходи - Витрати</t>
  </si>
  <si>
    <t>Баланс
незавершені капітальні інвестиції 15 СдП</t>
  </si>
  <si>
    <t>Баланс
незавершені капітальні інвестиції 15СдК</t>
  </si>
  <si>
    <t>Доходи табл 4 р. 4.3.1</t>
  </si>
  <si>
    <t>Доходи табл 4 р. 4.3.2</t>
  </si>
  <si>
    <t>Співставлення доходів та витрат по цільовому фінансуванню</t>
  </si>
  <si>
    <t>Розрахунок Кт 69
Кт 69  (дохід майбутніх періодів з проведень  Дт ЦФ10-Кт ЦФ15) = 69СдК -69СдП+69Дт (або АММ 745(69))+передача ОЗ (ЦФ)
якщо є  69СдП, то має бути  АММ 745 (69) і 69 Кт &gt;=0 
УВАГА!!!  заповніть дохід від амортизації   АММ 745 (69)  від цільового фінансування ( Дт 69 Кт 745)  в таблиці 4  р. 4.3.1. гр. 5</t>
  </si>
  <si>
    <t>Баланс 
69СдП доходи майбутніх періодів СдП
залишкова вартість НА,ОЗ що  придбані за кошти цільового фінансування</t>
  </si>
  <si>
    <t>Баланс 
69СдК доходи майбутніх періодів СдК
залишкова вартість НА,ОЗ що  придбані за кошти цільового фінансування</t>
  </si>
  <si>
    <t>Таблиця 11, р. Т11.3.1  гр.4
69СдП доходи майбутніх періодів 69 СдП
залишкова вартість НА, ОЗ, що  придбані за кошти цільового фінансування</t>
  </si>
  <si>
    <t>Таблиця 11, р. Т11.3.1  гр.8
69СдК доходи майбутніх періодів 69 СдК
залишкова вартість НА, ОЗ, що  придбані за кошти цільового фінансування</t>
  </si>
  <si>
    <t>Баланс
цільове фінансування 48 сальдо на кінець</t>
  </si>
  <si>
    <t>відхилення 71 ЦФ р.4.2.1 гр.5 таблиця 4 - 71 ЦФ розрахований за формулою</t>
  </si>
  <si>
    <t>відхилення
цільові витрати - 71 ЦФ</t>
  </si>
  <si>
    <t xml:space="preserve">1. Перевірка даних СдП та СдК в частині  залишків з запасів, що отримані з бюджету або як благодійна допомога  таблиці 10 із відповідними даними Балансу
2. Запаси, що отримані з бюджету або як благодійна допомога (СдП+придбання ТМЦ-витрати ТМЦ=СдК) </t>
  </si>
  <si>
    <t>СдП Таблиця 10
р. Т.10.4 гр.6</t>
  </si>
  <si>
    <t>Таблиця 2
запаси придбання (цільове фінансування)</t>
  </si>
  <si>
    <t xml:space="preserve">Сума залишкової вартості (капітал у дооцінках +  додатковий капітал   + доходи майбутніх періодів (ОЗ та ННМА)) складають не менше 45 % від загальної суми залишкової вартості (Нематеріальні активи + основні засоби)
</t>
  </si>
  <si>
    <t xml:space="preserve">1. Сума залишкової вартості (капітал у дооцінках +  додатковий капітал   + доходи майбутніх періодів (ОЗ та ННМА) дорівнюють сумі залишкової вартості нематеріальних активів + основні засоби на початок періоду, отримані безоплатно або як цільове фінансування (424 + 69) </t>
  </si>
  <si>
    <t xml:space="preserve">1. Сума залишкової вартості (капітал у дооцінках +  додатковий капітал   + доходи майбутніх періодів(ОЗ та ННМА) дорівнюють сумі залишкової вартості нематеріальних активів + основні засоби на початок періоду, отримані безоплатно або як цільове фінансування (424 + 69) 
2. Перевірка даних СдП та СдК таблиці 10 щодо нематеріальних активів з відповідними даними Балансу
3. Перевірка даних СдП та СдК таблиці 10 щодо основних засобів  з відповідними даними Балансу
</t>
  </si>
  <si>
    <t xml:space="preserve">таблиця 11
капітал у дооцінках +  додатковий капітал   + доходи майбутніх  періодів (ОЗ та ННМА) на початок періоду  </t>
  </si>
  <si>
    <t xml:space="preserve">таблиця 11
капітал у дооцінках +  додатковий капітал   + доходи майбутніх  періодів (ОЗ та ННМА) на кінець періоду  </t>
  </si>
  <si>
    <t>1. Відповідні дані Пасиву Балансу дорівнюють сумі залишків запасів  та незавершених капітальних інвестицій, отриманих як цільове фінансування ( таблиця 10)</t>
  </si>
  <si>
    <t xml:space="preserve">Цільове фінансування в частині залишків запасів та незавершених капітальних інвестицій 
1. Відповідні дані Пасиву Балансу дорівнюють сумі залишків запасів  та незавершених капітальних інвестицій, отриманих як ЦФ у таблиці 10
2. Перевірка Дт незавершених капітальних інвестицій, отримані як цільове фінансування у таблиці 10 із відповідними даними у таблиці 3
3. Перевірка даних СдП та СдК таблиці 10 щодо незавершених капітальних інвестицій  з відповідними даними Балансу
</t>
  </si>
  <si>
    <t>таблиця 10 
Запаси  + незавершені капітальні інвестиції на початок періоду (отримані як цільове фінансування)</t>
  </si>
  <si>
    <t>Таблиця 10 р. Т10.2, гр.25
Якщо Дт ЦФ р.Т10.2 гр. 11 = ЦФ таблиці 3 Капітальні інвестиції, то ПРАВДА</t>
  </si>
  <si>
    <t>У Балансі р. 1525 Цільове фінансування (всього), значення якого  є меншим, ніж сума відповідних рядків із запасами та капітальними інвестиціями (р. 1525 має бути не меншим, ніж сума за рядками запасів та капітальних інвестицій);</t>
  </si>
  <si>
    <t>р. 1525 Балансу, всього СдП</t>
  </si>
  <si>
    <t>р. 1525 Балансу, всього СдК</t>
  </si>
  <si>
    <t>Неприпустимо проставляти дані у Балансі р. 1665 Доходи майбутніх періодів (всього), значення якого  є меншим, ніж залишкова вартість НА, ОЗ що  придбані за кошти цільового фінансування</t>
  </si>
  <si>
    <t>р. 1665 Балансу, всього СдП</t>
  </si>
  <si>
    <t>р. 1665 Балансу, всього СдК</t>
  </si>
  <si>
    <t>Неприпустимо проставляти дані у Балансі р. 1415 Резервний капітал. Резервний капітал формується за рахунок розподілу прибутку. КНП не може розподіляти прибуток, оскільки є неприбутковою організацією</t>
  </si>
  <si>
    <t>р. 1415 Балансу СдП</t>
  </si>
  <si>
    <t>р. 1415 Балансу СдК</t>
  </si>
  <si>
    <t>Неприпустимо проставляти дані у Балансі р. 1500 Відстрочені податкові зобов’язання. Тут наводиться сума податків на прибуток, що підлягають сплаті в майбутніх періодах, яка визначається відповідно до Положення (стандарту) 17. КНП не платник податку на прибуток</t>
  </si>
  <si>
    <t>р. 1500 Балансу СдП</t>
  </si>
  <si>
    <t>р. 1500 Балансу СдК</t>
  </si>
  <si>
    <t>Мають бути відсутні дані у Балансі р. 1510 Довгострокові кредити банків. Тут наводиться сума заборгованості підприємства банкам за отриманими від них позиками, яка не є поточним зобов'язанням</t>
  </si>
  <si>
    <t>р. 1510 Балансу СдП</t>
  </si>
  <si>
    <t>р. 1510 Балансу СдК</t>
  </si>
  <si>
    <t>Мають бути відсутні дані у Балансі р. 1515 Інші довгострокові зобов’язання. Тут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</si>
  <si>
    <t>р. 1515 Балансу СдП</t>
  </si>
  <si>
    <t>р. 1515 Балансу СдК</t>
  </si>
  <si>
    <t xml:space="preserve">Мають бути відсутні дані у Балансі р. 1520 Довгострокові забезпечення. Тут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t>
  </si>
  <si>
    <t>р. 1420 Балансу СдП</t>
  </si>
  <si>
    <t>р. 1420 Балансу СдК</t>
  </si>
  <si>
    <t xml:space="preserve">Неприпустимо коригувати дані Балансу на кінець періоду ( гр.7 таблиці 9 Баланс) </t>
  </si>
  <si>
    <t>гр.7 Балансу, Актив</t>
  </si>
  <si>
    <t>гр.7 Балансу, Пасив</t>
  </si>
  <si>
    <t>Неприпустимо у Балансі проставляти від’ємні значення (крім р.1002, 1012, 1420 та коригування на початок періоду)</t>
  </si>
  <si>
    <t>Кількість відпрацьованих людино - годин на 1 працівника</t>
  </si>
  <si>
    <t>Довідково</t>
  </si>
  <si>
    <t>при 40-годинному робочому тижні</t>
  </si>
  <si>
    <t>всього</t>
  </si>
  <si>
    <t>ЦФ</t>
  </si>
  <si>
    <t>Ремонт</t>
  </si>
  <si>
    <t>Ремонт медичного обладнання</t>
  </si>
  <si>
    <t>Ремонт приміщень</t>
  </si>
  <si>
    <t>Ремонт ліфтів, оргтехніки, ПК</t>
  </si>
  <si>
    <t>Ремонт Авто</t>
  </si>
  <si>
    <t>Інший ремонт</t>
  </si>
  <si>
    <t>Увага</t>
  </si>
  <si>
    <t>3Б</t>
  </si>
  <si>
    <t>32_35</t>
  </si>
  <si>
    <t>32А</t>
  </si>
  <si>
    <t>32Б</t>
  </si>
  <si>
    <t>3А</t>
  </si>
  <si>
    <t>7-10.</t>
  </si>
  <si>
    <t>7А</t>
  </si>
  <si>
    <t>32В</t>
  </si>
  <si>
    <t>36А</t>
  </si>
  <si>
    <t xml:space="preserve">37А </t>
  </si>
  <si>
    <t>Код ЄДРПОУ</t>
  </si>
  <si>
    <t>Рухома оцінка</t>
  </si>
  <si>
    <t>Інтегрована оцінка для доходів та витрат по ЦФ</t>
  </si>
  <si>
    <t xml:space="preserve">Інтегрована оцінка Надходження </t>
  </si>
  <si>
    <t>Інтегрована оцінка ПМГ</t>
  </si>
  <si>
    <t>Інтегрована оцінка Витрати на оплату праці (№19-30)</t>
  </si>
  <si>
    <t>Інтегрована оцінка по структурі Балансу (№36-46)</t>
  </si>
  <si>
    <t>7.1.</t>
  </si>
  <si>
    <t>7.2.</t>
  </si>
  <si>
    <t>1125 Дебіторська заборгованість за продукцію, товари, роботи, послуги</t>
  </si>
  <si>
    <t xml:space="preserve">1160 Поточні фінансові інвестиції </t>
  </si>
  <si>
    <t xml:space="preserve">1165 Гроші та їх еквіваленти </t>
  </si>
  <si>
    <t>1400 Зареєстрований (статутний) капітал</t>
  </si>
  <si>
    <t xml:space="preserve">1420 Нерозподілений прибуток (непокритий збиток) </t>
  </si>
  <si>
    <t xml:space="preserve">1425 Неоплачений капітал </t>
  </si>
  <si>
    <t xml:space="preserve">1525 Цільове фінансування, всього </t>
  </si>
  <si>
    <t>1635 Поточна кредиторська заборгованість за отриманими авансами, всього</t>
  </si>
  <si>
    <t>Таблиця 12
Вибуття, передача ОЗ</t>
  </si>
  <si>
    <t>перевірка Дт 
гр.5 - (гр.13+гр.14) =0, то ПРАВДА</t>
  </si>
  <si>
    <t>Таблиця 10
Дт "(первісна вартість ОЗ + НА) безоплатно отримані "</t>
  </si>
  <si>
    <t xml:space="preserve">перевірка Кт 
</t>
  </si>
  <si>
    <t>передача, вибуття ОЗ, залишкова вартість яких обліковується у доходах майбутніх періодів (Дт 69 Кт377)</t>
  </si>
  <si>
    <t>передача, вибуття ОЗ, залишкова вартість яких обліковується у додатковому капіталі (Дт 424 Кт 10)</t>
  </si>
  <si>
    <t>Перевірка Дт та Кт, всього, грн.</t>
  </si>
  <si>
    <t>Перевірка Дт, отримані як цільове фінансування грн.</t>
  </si>
  <si>
    <t>перевірка СдП, тис. грн.</t>
  </si>
  <si>
    <t>перевірка СдК, тис. грн.</t>
  </si>
  <si>
    <t xml:space="preserve"> передача, вибуття ОЗ (ЦФ), залишкова вартість якиих обліковується у доходах майбутніх періодів</t>
  </si>
  <si>
    <t>Дебет  (таблиця 10)</t>
  </si>
  <si>
    <t>Баланс
прибуток СдП</t>
  </si>
  <si>
    <t>Баланс
прибуток СдК</t>
  </si>
  <si>
    <t>Перехідне фінансове забезпечення комплексного надання медичних послуг закладами охорони здоров’я</t>
  </si>
  <si>
    <t>Перехідне фінансове забезпечення комплексного надання медичних послуг в частині умов, які застосовуються з 1 вересня 2020 року</t>
  </si>
  <si>
    <t>у Балансі р. 1690 Інші поточні зобов’язання не допустимо проставляти дані за рахунками 682 та 683, оскільки КНП не проводить розрахунків з дочірніми і асоційованими підприємствами та внутрішньогосподарські розрахунки з виробничими одиницями і господарствами, виділеними на окремий баланс</t>
  </si>
  <si>
    <t xml:space="preserve"> резерв відпусток 47</t>
  </si>
  <si>
    <t>у тому числі аванси за ПМГ</t>
  </si>
  <si>
    <t>** допускається відхилення даних у діапазоні від -1 до 1 тис. грн.</t>
  </si>
  <si>
    <t>Т12.3 (Дт 424 Кт 10)</t>
  </si>
  <si>
    <t>Т10.3.3.1.</t>
  </si>
  <si>
    <t>Т10.3.3.2.</t>
  </si>
  <si>
    <t>Т10.1.3.1.</t>
  </si>
  <si>
    <t>Т10.1.3.2.</t>
  </si>
  <si>
    <t>р. 1035 Балансу СдП</t>
  </si>
  <si>
    <t>р. 1035 Балансу СдК</t>
  </si>
  <si>
    <t>Мають бути відсутні дані у Балансі р. 1035 Довгострокові інші фінансові інвестиції. Тут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</si>
  <si>
    <t>Баланс пасив, СдП - ЦФ в частині капінвестицій</t>
  </si>
  <si>
    <t>Баланс пасив, СдК - ЦФ в частині капінвестицій</t>
  </si>
  <si>
    <t>Баланс актив, СдП основні засоби</t>
  </si>
  <si>
    <t>Баланс актив, СдК основні засоби</t>
  </si>
  <si>
    <t>Баланс актив, СдП нематеріальні активи</t>
  </si>
  <si>
    <t>Баланс актив, СдК нематеріальні активи</t>
  </si>
  <si>
    <t>Актив, запаси</t>
  </si>
  <si>
    <t>Пасив, запаси ЦФ</t>
  </si>
  <si>
    <t>Таблиця №2 Придбання, оприбуткування ТМЦ</t>
  </si>
  <si>
    <t xml:space="preserve">джерело даних </t>
  </si>
  <si>
    <t>дані</t>
  </si>
  <si>
    <t>ПМГ та власні кошти</t>
  </si>
  <si>
    <t>Баланс пасив, СдП, тис. грн.</t>
  </si>
  <si>
    <t>Баланс пасив, СдК, тис. грн.</t>
  </si>
  <si>
    <t xml:space="preserve">
 АММ 745 (69)  (Дт69 Кт745)  +   передача, вибуття ОЗ (ЦФ), залишкова вартість якиих обліковується у доходах майбутніх періодів
</t>
  </si>
  <si>
    <r>
      <t xml:space="preserve">передача ТМЦ, що придбані (отримані) за кошти цільового фінансування
</t>
    </r>
    <r>
      <rPr>
        <b/>
        <sz val="14"/>
        <color indexed="10"/>
        <rFont val="Times New Roman"/>
        <family val="1"/>
        <charset val="204"/>
      </rPr>
      <t>Значення не може бути від’ємним!</t>
    </r>
  </si>
  <si>
    <r>
      <t xml:space="preserve">424 Кт = 424 СдК + АММ 745(424) + вибуття ОЗ - 424 СдП 
</t>
    </r>
    <r>
      <rPr>
        <b/>
        <sz val="12"/>
        <color indexed="10"/>
        <rFont val="Times New Roman"/>
        <family val="1"/>
        <charset val="204"/>
      </rPr>
      <t>Значення не може бути від’ємним!</t>
    </r>
  </si>
  <si>
    <t>Таблиця 14, р. Т14.2 додатковий капітал (гр.8 + гр.9 + гр.12) 
якщо дані =0, то ПРАВДА</t>
  </si>
  <si>
    <t>36СдН ПМГ (таблиця 9 Дебіторська заборгованість за послуги ПМГ)</t>
  </si>
  <si>
    <t>36СдК ПМГ  
(таблиця 9 Дебіторська заборгованість за послуги ПМГ)</t>
  </si>
  <si>
    <t>681СдК ПМГ 
(таблиця 9 Аванси ПМГ)</t>
  </si>
  <si>
    <t xml:space="preserve"> Дохід ПМГ 
(таблиця 4, р.4.1.3.1.)</t>
  </si>
  <si>
    <t xml:space="preserve">Співставлення  Надходжень ПМГ,  Доходів ПМГ, 
Балансу в частині дебіторської заборгованості за послуги ПМГ та авансів ПМГ 
36СдП ПМГ+ Дох ПМГ- (681СдП ПМГ+НадхПМГ)= СдК ПМГ
</t>
  </si>
  <si>
    <r>
      <t xml:space="preserve">69 Кт  = 69СдК -69СдП+69Дт (або  АММ 745 (69) ) + вибуття ОЗ (ЦФ)
</t>
    </r>
    <r>
      <rPr>
        <b/>
        <sz val="12"/>
        <color indexed="10"/>
        <rFont val="Times New Roman"/>
        <family val="1"/>
        <charset val="204"/>
      </rPr>
      <t>Значення не може бути від’ємним!</t>
    </r>
  </si>
  <si>
    <t>Значення не може бути від’ємним!</t>
  </si>
  <si>
    <t>СдП Баланс
з р.1525 сума залишків запасів, що отримані з бюджету або як благодійна допомога</t>
  </si>
  <si>
    <t>СдК Баланс
з р.1525 сума залишків запасів, що отримані з бюджету або як благодійна допомога</t>
  </si>
  <si>
    <t>з гр.6 та гр.8</t>
  </si>
  <si>
    <t>первісна вартість дооцінки</t>
  </si>
  <si>
    <t xml:space="preserve">Таблиця 10 Кредит
Кт "Знос дооцінки" 
Кт "Знос (безоплатно отримані)
Кт "Знос (ЦФ)"
</t>
  </si>
  <si>
    <t>Таблиця 3
Здійснено капітальних інвестицій Дт</t>
  </si>
  <si>
    <t>відхилення
СдК розрахункове - СдК у Балансі</t>
  </si>
  <si>
    <t>Капітальні інвестиції
1. 15СдП + Дт15 - Кт15 = 15СдК
2. Перевірка Дт незавершених капітальних інвестицій у таблиці 10 із відповідними даними у таблиці 3
3. Перевірка у таблиці 10 Кт незавершених капітальних інвестицій  із Дт ОЗ та ННМА</t>
  </si>
  <si>
    <t>Баланс
знос (ОЗ + ННМА) СдК</t>
  </si>
  <si>
    <t>Баланс
знос (ОЗ + ННМА) СдП</t>
  </si>
  <si>
    <t xml:space="preserve">Таблиця 10
Кт знос (ОЗ + ННМА) </t>
  </si>
  <si>
    <t xml:space="preserve">Таблиця 10
Дт знос (ОЗ + ННМА) </t>
  </si>
  <si>
    <r>
      <t xml:space="preserve">Таблиця 12
Передача, вибуття незавершених капітальних інвестицій
</t>
    </r>
    <r>
      <rPr>
        <b/>
        <sz val="14"/>
        <color indexed="10"/>
        <rFont val="Times New Roman"/>
        <family val="1"/>
        <charset val="204"/>
      </rPr>
      <t>Значення не може бути від’ємним!</t>
    </r>
  </si>
  <si>
    <t>розрахунково СдК =
запаси СдП+придбання ТМЦ-витрати ТМЦ- вибуття ТМЦ</t>
  </si>
  <si>
    <t xml:space="preserve">СдК розрахунково =
СдП+таблиця 2 придбання ТМЦ- таблиця10 Кт ТМЦ </t>
  </si>
  <si>
    <t>Т12.1.А.</t>
  </si>
  <si>
    <t>Товари (28)</t>
  </si>
  <si>
    <t xml:space="preserve">Готова продукція (26)  </t>
  </si>
  <si>
    <t>Витрати на збут (93)</t>
  </si>
  <si>
    <t>ТМЦ</t>
  </si>
  <si>
    <t>Виконують адміністративні (та комерційні) та управлінські функції</t>
  </si>
  <si>
    <t>Виконують адміністративні  (та комерційні) та загальногосподарські функції</t>
  </si>
  <si>
    <t xml:space="preserve">Цільове фінансування, всього, у тому числі </t>
  </si>
  <si>
    <t>на суму залишків з запасів, що отримані з бюджету або як благодійна допомога</t>
  </si>
  <si>
    <t>на суму залишків з капітальних інвестицій, що отримані з бюджету або як благодійна допомога</t>
  </si>
  <si>
    <t>залишкова вартість НА,ОЗ що  придбані за кошти цільового фінансування</t>
  </si>
  <si>
    <t>Доходи майбутніх періодів, всього, у тому числі</t>
  </si>
  <si>
    <t>доходи майбутніх періодів інше</t>
  </si>
  <si>
    <t>цільове фінансування інше</t>
  </si>
  <si>
    <t>Таблиця 10
Дт ТМЦ</t>
  </si>
  <si>
    <t xml:space="preserve">Таблиця 10
Кт ТМЦ
</t>
  </si>
  <si>
    <t>Таблиця 10
запаси СдК</t>
  </si>
  <si>
    <t xml:space="preserve">Запаси (СдП+придбання ТМЦ-КтТМЦ=СдК) </t>
  </si>
  <si>
    <t>Таблиця 10
Дт Незавершені капітальні інвестиції</t>
  </si>
  <si>
    <t>Таблиця 10
Кт Незавершені капітальні інвестиції</t>
  </si>
  <si>
    <t>Таблиця 4, п.4.3.1 (Дт 69 Кт 745 (неоперац дохід від амортизації ОЗ та НА що отримані як ЦФ)</t>
  </si>
  <si>
    <t>первісна вартість (без дооцінки) безоплатно отримані, р. Т10.1.1. + Т10.3.1. гр.10
Дт 10,11,12 Кт 424</t>
  </si>
  <si>
    <t xml:space="preserve">Додатковий капітал, всього, у тому числі </t>
  </si>
  <si>
    <t>залишкова вартість НА та ОЗ, що отримані безоплатно (422, 424)</t>
  </si>
  <si>
    <t>додатковий капітал інше</t>
  </si>
  <si>
    <t>введено в експлуатацію</t>
  </si>
  <si>
    <t>інше</t>
  </si>
  <si>
    <t>відхилення від даних в Т 10.4*</t>
  </si>
  <si>
    <t xml:space="preserve">Таблиця №5.1 + Таблиця №12 Т12.1 </t>
  </si>
  <si>
    <t>Таблиця 1
цільове фінансування (надходження), у тому додатковий капітал</t>
  </si>
  <si>
    <t>Інша поточна дебіторська заборгованість, всього, у тому числі</t>
  </si>
  <si>
    <t xml:space="preserve">  розрахунки з держaвними цільовими фондами</t>
  </si>
  <si>
    <t>1.Цільове фінансування за рахунок коштів бюджетів усіх рівнів має бути відображено у таблиці 1 Надходження 
2. Перевірка, обороти бюджету
Баланс СдП 377 +Дт 37 -Баланс СдК 377 = Кт 37</t>
  </si>
  <si>
    <t>р.1.1.1.2. гр.12 таблиці 7 (ЦФ)</t>
  </si>
  <si>
    <t>р.1.1.1.6. гр.12 таблиці 7 (ЦФ)</t>
  </si>
  <si>
    <t>Керівники структурних підрозділів - Якщо є видатки у р.1.1.1.2. гр.8 таблиці 7 (або гр.12), то має бути чисельність у р.1 гр. 5 "Виконують адміністративні та управлінські функції" таблиці 8</t>
  </si>
  <si>
    <t>Керівники структурних підрозділів - Якщо є видатки у р.1.1.1.2. гр.6 таблиці 7 (або гр.12), то має бути чисельність у р.1 гр. 6 "Виконують загальновиробничі функції та забезпечують надання медичних послуг" таблиці 8</t>
  </si>
  <si>
    <t>Інші працівники - Якщо є видатки у р.1.1.1.6. гр.8 таблиці 7 (або гр.12), то має бути чисельність у р.1 гр. 10 "Виконують адміністративні та загальногосподарські функції" таблиці 8</t>
  </si>
  <si>
    <t>Інші працівники- Якщо є видатки у р.1.1.1.6. гр.6 таблиці 7 (абогр.12), то має бути чисельність у р.1 гр. 11 "Зайняті у наданні медичних послуг" таблиці 8</t>
  </si>
  <si>
    <t xml:space="preserve"> СдК ПМГ=  
36СдП ПМГ+ Дох ПМГ- (681СдП ПМГ+НадхПМГ)</t>
  </si>
  <si>
    <r>
      <t xml:space="preserve">ПЗБЦФ
Погашення заборгованості бюджету з цільового фінансування
 (Дт 31 </t>
    </r>
    <r>
      <rPr>
        <u/>
        <sz val="16"/>
        <rFont val="Times New Roman"/>
        <family val="1"/>
        <charset val="204"/>
      </rPr>
      <t>Кт 37 ПЗБЦФ</t>
    </r>
    <r>
      <rPr>
        <sz val="16"/>
        <rFont val="Times New Roman"/>
        <family val="1"/>
        <charset val="204"/>
      </rPr>
      <t xml:space="preserve">) </t>
    </r>
  </si>
  <si>
    <r>
      <t>ЗБЦФ
Заборгованість бюджету з цільового фінансування (</t>
    </r>
    <r>
      <rPr>
        <u/>
        <sz val="16"/>
        <rFont val="Times New Roman"/>
        <family val="1"/>
        <charset val="204"/>
      </rPr>
      <t>Дт 37 ЗБЦФ</t>
    </r>
    <r>
      <rPr>
        <sz val="16"/>
        <rFont val="Times New Roman"/>
        <family val="1"/>
        <charset val="204"/>
      </rPr>
      <t xml:space="preserve"> 
Кт 48) </t>
    </r>
  </si>
  <si>
    <r>
      <t xml:space="preserve">ПЦФБ
Повернення цільового фінансування у бюджет 
(Д48 </t>
    </r>
    <r>
      <rPr>
        <u/>
        <sz val="16"/>
        <rFont val="Times New Roman"/>
        <family val="1"/>
        <charset val="204"/>
      </rPr>
      <t>Кт31 ПЦФБ</t>
    </r>
    <r>
      <rPr>
        <sz val="16"/>
        <rFont val="Times New Roman"/>
        <family val="1"/>
        <charset val="204"/>
      </rPr>
      <t xml:space="preserve">)  </t>
    </r>
  </si>
  <si>
    <r>
      <t>ЗБКВ
Заборгованість бюджету  для компенсації витрат (збитків)  (</t>
    </r>
    <r>
      <rPr>
        <u/>
        <sz val="16"/>
        <rFont val="Times New Roman"/>
        <family val="1"/>
        <charset val="204"/>
      </rPr>
      <t>Дт 37 ЗБКВ</t>
    </r>
    <r>
      <rPr>
        <sz val="16"/>
        <rFont val="Times New Roman"/>
        <family val="1"/>
        <charset val="204"/>
      </rPr>
      <t xml:space="preserve"> Кт 719) (п.19 ПСБО 15)</t>
    </r>
  </si>
  <si>
    <r>
      <t>заборгованість бюджету  для компенсації витрат (збитків)  
(</t>
    </r>
    <r>
      <rPr>
        <i/>
        <u/>
        <sz val="14"/>
        <color indexed="8"/>
        <rFont val="Times New Roman"/>
        <family val="1"/>
        <charset val="204"/>
      </rPr>
      <t>Дт 37 ЗБКВ</t>
    </r>
    <r>
      <rPr>
        <i/>
        <sz val="14"/>
        <color indexed="8"/>
        <rFont val="Times New Roman"/>
        <family val="1"/>
        <charset val="204"/>
      </rPr>
      <t xml:space="preserve"> Кт 719) (п.19 ПСБО 15) (ЗБКВ)</t>
    </r>
  </si>
  <si>
    <t>СдП</t>
  </si>
  <si>
    <t>СдК</t>
  </si>
  <si>
    <t>Перевірка, обороти бюджету
Баланс СдП 37 ЗБЦФ +Дт 37 ЗБЦФ -Баланс СдК 37 ЗБЦФ 
= Кт 37 ПЗБЦФ</t>
  </si>
  <si>
    <t>Перевірка, обороти бюджету
Баланс СдП 37 ЗБКВ +Дт 37 ЗБКВ -Баланс СдК 37 ЗБКВ
= Кт 37 ПЗБКВ</t>
  </si>
  <si>
    <t>Баланс
заборгованість бюджету  для компенсації витрат (збитків), тис. грн. (Дт 37 ЗБКВ Кт 719) (п.19 ПСБО 15) (ЗБКВ)</t>
  </si>
  <si>
    <t>СдК розрахунково =
15СдП + Дт (таблиця 3) - кт (таблиця 10)</t>
  </si>
  <si>
    <t>Якщо Дт  р.Т10.2 гр. 9 =  таблиці 3 Капітальні інвестиції  та  Кт15 р. Т10.2 гр.14 (введено в експлуатацію)=Дт10+Дт12 (р.Т10.1.1+Т10.3.1) гр.9, то ПРАВДА</t>
  </si>
  <si>
    <t>Доходи табл 4 р. 4.3.2 - якщо значення менше 50 грн., але більше 0 - то помилка. Неопераційний дохід від амортизації  по НА та ОЗ, що отримані безоплатно (Дт 424 Кт 745)</t>
  </si>
  <si>
    <t>Таблиця 10
Дт "Первісна вартість дооцінки" 
Дт "Капітальні інвестиції (безоплатно отримані)"
Кт "Капітальні інвестиції (ЦФ)" введено в експлуатацію</t>
  </si>
  <si>
    <t>Таблиця 10
Кт  "Капітальні інвестиції (безоплатно отримані)" введено в експлуатацію
Дт "первісна вартість ОЗ + НА"</t>
  </si>
  <si>
    <t xml:space="preserve"> 2.10</t>
  </si>
  <si>
    <t xml:space="preserve"> 2.11</t>
  </si>
  <si>
    <t>Якщо р. 4.2.1 гр.3 = Цільові витрати р.1.1. гр.15 таблиці 5.1 - то ПРАВДА</t>
  </si>
  <si>
    <t>Якщо р. 4.2.1 гр.5 = Цільові витрати р.1.1. гр.16 таблиці 5.1 - то ПРАВДА</t>
  </si>
  <si>
    <r>
      <t>заборгованість бюджету з цільового фінансування 
(</t>
    </r>
    <r>
      <rPr>
        <i/>
        <u/>
        <sz val="14"/>
        <color indexed="8"/>
        <rFont val="Times New Roman"/>
        <family val="1"/>
        <charset val="204"/>
      </rPr>
      <t>Дт 37 ЗБЦФ</t>
    </r>
    <r>
      <rPr>
        <i/>
        <sz val="14"/>
        <color indexed="8"/>
        <rFont val="Times New Roman"/>
        <family val="1"/>
        <charset val="204"/>
      </rPr>
      <t xml:space="preserve"> Кт 48) </t>
    </r>
  </si>
  <si>
    <t>з табл 4 п. 4.3.2
Дт 424 Кт 745</t>
  </si>
  <si>
    <t>ВАЛІДАЦІЯ</t>
  </si>
  <si>
    <t xml:space="preserve">Інше (грошові кошти та надходження у натуральній формі) </t>
  </si>
  <si>
    <t>Таблиця 14. Ув’язка даних</t>
  </si>
  <si>
    <t>передача в іншу організацію ТМЦ, що придбані (отримані) за кошти цільового фінансування (Дт 48 Кт 201)</t>
  </si>
  <si>
    <t>передача в іншу організацію незавершених капітальних інвестицій, що придбані (отримані) за кошти цільового фінансування (Дт 48 Кт 15)</t>
  </si>
  <si>
    <t>передача, вибуття ОЗ, що були дооцінені, уцінка  (Дт 411 Кт 441)</t>
  </si>
  <si>
    <t>№ валідації</t>
  </si>
  <si>
    <t>Результат валідації</t>
  </si>
  <si>
    <t>Умова верифікації</t>
  </si>
  <si>
    <t>Висновок за умови не виконання умов верифікації</t>
  </si>
  <si>
    <t>Т12.1</t>
  </si>
  <si>
    <t xml:space="preserve">5.1. ЦФ </t>
  </si>
  <si>
    <t>Таблиця 5. 901 + 902</t>
  </si>
  <si>
    <t>ПМГ та власні кошти + статутний капітал</t>
  </si>
  <si>
    <t>в т.ч. в Дт15</t>
  </si>
  <si>
    <t>в т.ч.  в Дт 63, інше</t>
  </si>
  <si>
    <t>48 СдК запаси</t>
  </si>
  <si>
    <t>Таблиця 10, р. Т 10.4. гр.21 48 СдК запаси</t>
  </si>
  <si>
    <t>Таблиця 10
перевірка  -таблиця 10 в частині запасів (СдП, Дт, Кт, СдК)</t>
  </si>
  <si>
    <t>відхилення
розрахунково Сдк - Таблиця 10 розраховано за формулою за даними рядка 31 
Сдк =СдП+Дт-Кт</t>
  </si>
  <si>
    <t>Т12.1.Б.</t>
  </si>
  <si>
    <t>повернення постачальнику цільових капітальних інвестицій (Дт63 Кт 15ЦФ)</t>
  </si>
  <si>
    <t>таблиця 10 
Запаси (48 СдК запаси) + (незавершені капітальні інвестиції на кінець періоду (отримані як цільове фінансування) - Т12.1.Б)</t>
  </si>
  <si>
    <t>Т10, р. 10.2 гр.21 + Т12.1.Б</t>
  </si>
  <si>
    <t>Сальдо на кінець звітного періоду</t>
  </si>
  <si>
    <t>ПМГ+</t>
  </si>
  <si>
    <t>розраховано за формулою за даними рядка 31 
СдК =СдП+Дт-Кт</t>
  </si>
  <si>
    <t>дані для верифікації за звітний період</t>
  </si>
  <si>
    <r>
      <t xml:space="preserve">Передача ТМЦ, що придбані (отримані) за кошти цільового фінансування + (Дт 15 ЦФ Кт 201 ЦФ)
</t>
    </r>
    <r>
      <rPr>
        <b/>
        <sz val="14"/>
        <color indexed="10"/>
        <rFont val="Times New Roman"/>
        <family val="1"/>
        <charset val="204"/>
      </rPr>
      <t>Значення не може бути від’ємним!</t>
    </r>
  </si>
  <si>
    <t>1. Середня кількість працівників, всього, у тому числі</t>
  </si>
  <si>
    <t>1.2. середня кількість зовнішніх сумісників</t>
  </si>
  <si>
    <t>1.3. середня кількість працюючих за цивільно-правовими договорами</t>
  </si>
  <si>
    <t>4. Витрати на оплату праці (відповідний період минулого року)</t>
  </si>
  <si>
    <t>4.1. Виробничі (23) та загальновиробничі (91) витрати</t>
  </si>
  <si>
    <t>4.2. Адміністративні витрати (92)</t>
  </si>
  <si>
    <t>4.3. Витрати на збут (93)</t>
  </si>
  <si>
    <t>4.4. Цільові витрати  (виитрати за рахунок бюджетів усіх рівнів та благодійної допомоги )</t>
  </si>
  <si>
    <t>4.5. Інші операційні витрати (94)</t>
  </si>
  <si>
    <t>2. Витрати на оплату праці (звітний період)</t>
  </si>
  <si>
    <t>2.1. Виробничі (23) та загальновиробничі (91) витрати</t>
  </si>
  <si>
    <t>2.2. Адміністративні витрати (92)</t>
  </si>
  <si>
    <t>2.3. Витрати на збут (93)</t>
  </si>
  <si>
    <t>2.5. Інші операційні витрати (94)</t>
  </si>
  <si>
    <t>1.1. середньооблікова кількість штатних працівників</t>
  </si>
  <si>
    <t>Керівники структурних підрозділів, які виконують адміністративні (та комерційні) та управлінські функції</t>
  </si>
  <si>
    <t>Керівники структурних підрозділів, які виконують загальновиробничі функції та забезпечують надання медичних послуг</t>
  </si>
  <si>
    <t>Інші працівники, які виконують адміністративні  (та комерційні) та загальногосподарські функції</t>
  </si>
  <si>
    <t xml:space="preserve">Інші працівники, які зайняті у наданні медичних послуг </t>
  </si>
  <si>
    <t>Всього, осіб</t>
  </si>
  <si>
    <t>Керівники, осіб</t>
  </si>
  <si>
    <t>Керівники структурних підрозділів, осіб</t>
  </si>
  <si>
    <t>Лікарі, осіб</t>
  </si>
  <si>
    <t>Середній медичний персонал (в тому числі фельдшери, парамедики), осіб</t>
  </si>
  <si>
    <t>Молодший медичний персонал, осіб</t>
  </si>
  <si>
    <t>Інші працівники, осіб</t>
  </si>
  <si>
    <t>ВОП, всього</t>
  </si>
  <si>
    <t xml:space="preserve">ВОП, керівники </t>
  </si>
  <si>
    <t>ВОП, керівники структурних підрозділів</t>
  </si>
  <si>
    <t>ВОП, лікарі</t>
  </si>
  <si>
    <t>ВОП, середній медичний персонал (в тому числі фельдшери, парамедики)</t>
  </si>
  <si>
    <t>ВОП, молодший медичний персонал</t>
  </si>
  <si>
    <t>ВОП, інші працівники</t>
  </si>
  <si>
    <t>Всього, ВОП на особу, грн.</t>
  </si>
  <si>
    <t>Керівники, ВОП на особу, грн.</t>
  </si>
  <si>
    <t>Керівники структурних підрозділів, ВОП на особу, грн.</t>
  </si>
  <si>
    <t>Лікарі, ВОП на особу, грн.</t>
  </si>
  <si>
    <t>Середній медичний персонал (в тому числі фельдшери, парамедики), ВОП на особу, грн.</t>
  </si>
  <si>
    <t>Молодший медичний персонал, ВОП на особу, грн.</t>
  </si>
  <si>
    <t>Інші працівники, ВОП на особу, грн.</t>
  </si>
  <si>
    <t>3. Середньомісячні витрати на оплату праці, грн.</t>
  </si>
  <si>
    <t xml:space="preserve">Добуток Всього </t>
  </si>
  <si>
    <t xml:space="preserve">Добуток Керівники  </t>
  </si>
  <si>
    <t xml:space="preserve">Добуток Керівники структурних підрозділів </t>
  </si>
  <si>
    <t xml:space="preserve">Добуток Лікарі </t>
  </si>
  <si>
    <t>Добуток Середній медичний персонал (в тому числі фельдшери, парамедики)</t>
  </si>
  <si>
    <t>Добуток Молодший медичний персонал особи</t>
  </si>
  <si>
    <t xml:space="preserve">Добуток Інші працівники </t>
  </si>
  <si>
    <t>1000. Нематеріальні активи</t>
  </si>
  <si>
    <t xml:space="preserve">1001.    первісна вартість </t>
  </si>
  <si>
    <t>1002.    накопичена амортизація (-)</t>
  </si>
  <si>
    <t>1005. Незавершені капітальні інвестиції</t>
  </si>
  <si>
    <t>1010. Основні засоби</t>
  </si>
  <si>
    <t xml:space="preserve">1011.    первісна вартість </t>
  </si>
  <si>
    <t>1012.    знос (-)</t>
  </si>
  <si>
    <t>1015. Інвестиційна нерухомість</t>
  </si>
  <si>
    <t>1020. Довгострокові біологічні активи</t>
  </si>
  <si>
    <t>1030. які обліковуються за методом участі в капіталі інших підприємств</t>
  </si>
  <si>
    <t>999 I. Необоротні активи</t>
  </si>
  <si>
    <t>1125.1</t>
  </si>
  <si>
    <t>1155.1</t>
  </si>
  <si>
    <t>1155.2</t>
  </si>
  <si>
    <t>1155.3</t>
  </si>
  <si>
    <t>1410.1</t>
  </si>
  <si>
    <t>1410.2</t>
  </si>
  <si>
    <t>1525.1</t>
  </si>
  <si>
    <t>1525.2</t>
  </si>
  <si>
    <t>1525.3</t>
  </si>
  <si>
    <t>1630.1</t>
  </si>
  <si>
    <t>1630.2</t>
  </si>
  <si>
    <t>1630.3</t>
  </si>
  <si>
    <t>1635.1</t>
  </si>
  <si>
    <t>1665.1</t>
  </si>
  <si>
    <t>1665.2</t>
  </si>
  <si>
    <t xml:space="preserve">1035. інші фінансові інвестиції </t>
  </si>
  <si>
    <t xml:space="preserve">1040. Довгострокова дебіторська заборгованість </t>
  </si>
  <si>
    <t xml:space="preserve">1045. Відстрочені податкові активи </t>
  </si>
  <si>
    <t xml:space="preserve">1090. Інші необоротні активи </t>
  </si>
  <si>
    <t xml:space="preserve">1095. Усього за розділом I </t>
  </si>
  <si>
    <t xml:space="preserve">1099. II. Оборотні активи </t>
  </si>
  <si>
    <t>1100. Запаси</t>
  </si>
  <si>
    <t xml:space="preserve">1110. Поточні біологічні активи </t>
  </si>
  <si>
    <t>1125. Дебіторська заборгованість за продукцію, товари, роботи, послуги</t>
  </si>
  <si>
    <t>1125.1.     у тому числі за ПМГ</t>
  </si>
  <si>
    <t>1129. Дебіторська заборгованість за розрахунками:</t>
  </si>
  <si>
    <t>1130.     за виданими авансами</t>
  </si>
  <si>
    <t>1135.     з бюджетом</t>
  </si>
  <si>
    <t>1136.     у тому числі з податку на прибуток</t>
  </si>
  <si>
    <t>1155. Інша поточна дебіторська заборгованість, всього, у тому числі</t>
  </si>
  <si>
    <t>1155.1.   розрахунки з держaвними цільовими фондами</t>
  </si>
  <si>
    <t xml:space="preserve">1155.2. заборгованість бюджету з цільового фінансування 
(Дт 37 ЗБЦФ Кт 48) </t>
  </si>
  <si>
    <t>1155.3. заборгованість бюджету  для компенсації витрат (збитків)  
(Дт 37 ЗБКВ Кт 719) (п.19 ПСБО 15) (ЗБКВ)</t>
  </si>
  <si>
    <t xml:space="preserve">1160. Поточні фінансові інвестиції </t>
  </si>
  <si>
    <t xml:space="preserve">1165. Гроші та їх еквіваленти </t>
  </si>
  <si>
    <t>1170. Витрати майбутніх періодів</t>
  </si>
  <si>
    <t xml:space="preserve">1190. Інші оборотні активи </t>
  </si>
  <si>
    <t xml:space="preserve">1195. Усього за розділом II </t>
  </si>
  <si>
    <t>1200. III. Необоротні активи, утримувані для продажу, та групи вибуття</t>
  </si>
  <si>
    <t xml:space="preserve">1300. Баланс </t>
  </si>
  <si>
    <t>Код рядка. Пасив</t>
  </si>
  <si>
    <t xml:space="preserve">1399. I. Власний капітал </t>
  </si>
  <si>
    <t>1400. Зареєстрований (статутний) капітал</t>
  </si>
  <si>
    <t>1405. Капітал у дооцінках</t>
  </si>
  <si>
    <t xml:space="preserve">1410. Додатковий капітал, всього, у тому числі </t>
  </si>
  <si>
    <t>1410.1. залишкова вартість НА та ОЗ, що отримані безоплатно (422, 424)</t>
  </si>
  <si>
    <t>1410.2. додатковий капітал інше</t>
  </si>
  <si>
    <t xml:space="preserve">1415. Резервний капітал </t>
  </si>
  <si>
    <t xml:space="preserve">1420. Нерозподілений прибуток (непокритий збиток) </t>
  </si>
  <si>
    <t xml:space="preserve">1425. Неоплачений капітал </t>
  </si>
  <si>
    <t xml:space="preserve">1430. Вилучений капітал </t>
  </si>
  <si>
    <t>1495. Усього за розділом I</t>
  </si>
  <si>
    <t>1499. II. Довгострокові зобов’язання і забезпечення</t>
  </si>
  <si>
    <t>1500. Відстрочені податкові зобов’язання</t>
  </si>
  <si>
    <t>1510. Довгострокові кредити банків</t>
  </si>
  <si>
    <t>1515. Інші довгострокові зобов’язання</t>
  </si>
  <si>
    <t>1520. Довгострокові забезпечення</t>
  </si>
  <si>
    <t xml:space="preserve">1525. Цільове фінансування, всього, у тому числі </t>
  </si>
  <si>
    <t>1525.1. на суму залишків з запасів, що отримані з бюджету або як благодійна допомога</t>
  </si>
  <si>
    <t>1525.2. на суму залишків з капітальних інвестицій, що отримані з бюджету або як благодійна допомога</t>
  </si>
  <si>
    <t>1525.3. цільове фінансування інше</t>
  </si>
  <si>
    <t>1595. Усього за розділом II</t>
  </si>
  <si>
    <t>1599. IІІ. Поточні зобов’язання і забезпечення</t>
  </si>
  <si>
    <t xml:space="preserve">1600. Короткострокові кредити банків </t>
  </si>
  <si>
    <t>1609. Поточна кредиторська заборгованість за:</t>
  </si>
  <si>
    <t xml:space="preserve">1610.     довгостроковими зобов’язаннями </t>
  </si>
  <si>
    <t>1615.     товари, роботи, послуги</t>
  </si>
  <si>
    <t>1620.     розрахунками з бюджетом</t>
  </si>
  <si>
    <t>1621.     у тому числі з податку на прибуток</t>
  </si>
  <si>
    <t>1625.     розрахунками зі страхування</t>
  </si>
  <si>
    <t>1630.     розрахунками з оплати праці, у тому числі</t>
  </si>
  <si>
    <t>1630.1. за заробітною платою</t>
  </si>
  <si>
    <t>1630.2. за депонентами</t>
  </si>
  <si>
    <t>1630.3. за іншими виплатами</t>
  </si>
  <si>
    <t>1635. Поточна кредиторська заборгованість за отриманими авансами, всього</t>
  </si>
  <si>
    <t>1635.1. у тому числі аванси за ПМГ</t>
  </si>
  <si>
    <t>1660. Поточні забезпечення</t>
  </si>
  <si>
    <t>1665. Доходи майбутніх періодів, всього, у тому числі</t>
  </si>
  <si>
    <t>1665.1. залишкова вартість НА,ОЗ що  придбані за кошти цільового фінансування</t>
  </si>
  <si>
    <t>1665.2. доходи майбутніх періодів інше</t>
  </si>
  <si>
    <t>1690. Інші поточні зобов’язання</t>
  </si>
  <si>
    <t>1695. Усього за розділом IІІ</t>
  </si>
  <si>
    <t>1700. ІV. Зобов’язання, пов’язані з необоротними активами,  у тому числі утримуваними для продажу та групами вибуття</t>
  </si>
  <si>
    <t xml:space="preserve">1900. Баланс </t>
  </si>
  <si>
    <t xml:space="preserve">Інше (грошові кошти та надходження у натуральній формі ) </t>
  </si>
  <si>
    <t>Надходження, придбання, оприбуткування ТМЦ, капітальні інвестиції</t>
  </si>
  <si>
    <t>Фінансовий результат господарської діяльності</t>
  </si>
  <si>
    <t>за елементами</t>
  </si>
  <si>
    <t>у тому числі</t>
  </si>
  <si>
    <t>Всього (звітний період)</t>
  </si>
  <si>
    <t>ПМГ та інші</t>
  </si>
  <si>
    <t xml:space="preserve">Бюджети усіх рівнів та благодійна допомога </t>
  </si>
  <si>
    <t>Неопераційні доходи та витрати</t>
  </si>
  <si>
    <t>5.</t>
  </si>
  <si>
    <t>2.</t>
  </si>
  <si>
    <t>3.</t>
  </si>
  <si>
    <t>4.</t>
  </si>
  <si>
    <t>5.1.</t>
  </si>
  <si>
    <t>5.2.</t>
  </si>
  <si>
    <t>5.3.</t>
  </si>
  <si>
    <t>5.4.</t>
  </si>
  <si>
    <t>5.5.</t>
  </si>
  <si>
    <t>5.6.</t>
  </si>
  <si>
    <t>1.  Надходження, всього</t>
  </si>
  <si>
    <t>2.  Придбання, оприбуткування ТМЦ, всього, у тому числі</t>
  </si>
  <si>
    <t>3.  Капітальні інвестиції, всього, у тому числі</t>
  </si>
  <si>
    <t xml:space="preserve"> 3.1.  Капітальне будівництво, у тому числі </t>
  </si>
  <si>
    <t xml:space="preserve"> 3.1.1.  Нове будівництво</t>
  </si>
  <si>
    <t xml:space="preserve"> 3.1.2.  Модернізація, модифікація (добудова, реконструкція) </t>
  </si>
  <si>
    <t xml:space="preserve"> 3.1.3.  Капітальний ремонт</t>
  </si>
  <si>
    <t xml:space="preserve"> 3.2.  Основні засоби,  у тому числі </t>
  </si>
  <si>
    <t xml:space="preserve"> 3.2.1.  Придбання (виготовлення) основних засобів</t>
  </si>
  <si>
    <t xml:space="preserve"> 3.2.2.  Модернізація, модифікація основних засобів</t>
  </si>
  <si>
    <t xml:space="preserve"> 3.2.3.  Капітальний ремонт основних засобів</t>
  </si>
  <si>
    <t xml:space="preserve"> 3.3.  Придбання (виготовлення) інших необоротних матеріальних активів</t>
  </si>
  <si>
    <t xml:space="preserve"> 3.4.  ННМА, всього, у тому числі </t>
  </si>
  <si>
    <t xml:space="preserve"> 3.4.1.  Придбання (створення) необоротних нематеріальних активів</t>
  </si>
  <si>
    <t xml:space="preserve"> 3.4.2.  Модернізація, модифікація  ННМА</t>
  </si>
  <si>
    <t>з графи 5  Інше</t>
  </si>
  <si>
    <t xml:space="preserve"> 1. Витрати (без амортизації)</t>
  </si>
  <si>
    <t xml:space="preserve"> 1.1.1 Заробітна плата</t>
  </si>
  <si>
    <t xml:space="preserve"> 1.1.2 Нарахування на оплату праці</t>
  </si>
  <si>
    <t xml:space="preserve"> 1.1.4 Матеріальні витрати</t>
  </si>
  <si>
    <t xml:space="preserve"> 1.1.4.1 Медикаменти та перев'язувальні матеріали</t>
  </si>
  <si>
    <t xml:space="preserve"> 1.1.4.3 Продукти харчування </t>
  </si>
  <si>
    <t xml:space="preserve"> 1.1.5 Інші операційні витрати</t>
  </si>
  <si>
    <t xml:space="preserve"> 1.1.5.1 Видатки на відрядження</t>
  </si>
  <si>
    <t xml:space="preserve"> 1.1.5.2 Підготовка (перепідготовка) кадрів  та підвищення кваліфікації</t>
  </si>
  <si>
    <t xml:space="preserve"> 1.1.5.4 Зовнішні послуги з медичної допомоги</t>
  </si>
  <si>
    <t xml:space="preserve"> 1.1.5.5 ТО/сервісне обслуговування/поверка  НМА</t>
  </si>
  <si>
    <t xml:space="preserve"> 1.1.5.5.1 ТО медобладнання</t>
  </si>
  <si>
    <t xml:space="preserve"> 1.1.5.5.2 ТО ліфти, ПК, оргтехніка, телефони</t>
  </si>
  <si>
    <t xml:space="preserve"> 1.1.5.5.3 ТО, сервісне обслуговування авто</t>
  </si>
  <si>
    <t xml:space="preserve"> 1.1.5.5.4 Інше ТО та обслуговування</t>
  </si>
  <si>
    <t xml:space="preserve"> 1.1.5.5.5 ТО/обслуговування ННМА (ППЗ)</t>
  </si>
  <si>
    <t xml:space="preserve"> 1.1.5.6 Зв'язок, інтернет</t>
  </si>
  <si>
    <t xml:space="preserve"> 1.1.5.7 Послуги з прання</t>
  </si>
  <si>
    <t xml:space="preserve"> 1.1.5.8 Охорона</t>
  </si>
  <si>
    <t xml:space="preserve"> 1.1.5.9 Пожежна охорона</t>
  </si>
  <si>
    <t xml:space="preserve"> 1.1.5.10 Послуги з харчування</t>
  </si>
  <si>
    <t xml:space="preserve"> 1.1.5.11 Страхування</t>
  </si>
  <si>
    <t xml:space="preserve"> 1.1.5.12 Інші послуги </t>
  </si>
  <si>
    <t xml:space="preserve"> 1.1.5.13 Податки</t>
  </si>
  <si>
    <t xml:space="preserve"> 1.1.5.14 Банківське обслуговування</t>
  </si>
  <si>
    <t xml:space="preserve"> 1.2 Неопераційні витрати</t>
  </si>
  <si>
    <t>7.</t>
  </si>
  <si>
    <t>7.3.</t>
  </si>
  <si>
    <t>7.4.</t>
  </si>
  <si>
    <t>8.1.</t>
  </si>
  <si>
    <t>8.1.1.</t>
  </si>
  <si>
    <t>8.1.2.</t>
  </si>
  <si>
    <t>8.1.3.</t>
  </si>
  <si>
    <t>8.1.3.1.</t>
  </si>
  <si>
    <t>8.1.3.2.</t>
  </si>
  <si>
    <t>8.1.4.</t>
  </si>
  <si>
    <t>8.2.</t>
  </si>
  <si>
    <t>8.2.1.</t>
  </si>
  <si>
    <t xml:space="preserve"> 8.2.2</t>
  </si>
  <si>
    <t>8.2.3.</t>
  </si>
  <si>
    <t>8.2.4.</t>
  </si>
  <si>
    <t>8.2.4.1</t>
  </si>
  <si>
    <t>8.3.</t>
  </si>
  <si>
    <t>8.3.1.</t>
  </si>
  <si>
    <t>8.3.2.</t>
  </si>
  <si>
    <t>8.3.3.</t>
  </si>
  <si>
    <t>9.</t>
  </si>
  <si>
    <t>6а</t>
  </si>
  <si>
    <t>6б</t>
  </si>
  <si>
    <t>9.1.</t>
  </si>
  <si>
    <t>9.1.1.</t>
  </si>
  <si>
    <t>9.1.2.</t>
  </si>
  <si>
    <t>9.1.3.</t>
  </si>
  <si>
    <t>9.1.4.</t>
  </si>
  <si>
    <t>9.1.4.1</t>
  </si>
  <si>
    <t>9.1.4.2.</t>
  </si>
  <si>
    <t>9.1.4.3.</t>
  </si>
  <si>
    <t>9.1.4.4.</t>
  </si>
  <si>
    <t>9.1.4.5.</t>
  </si>
  <si>
    <t>9.1.5.</t>
  </si>
  <si>
    <t>9.1.6.</t>
  </si>
  <si>
    <t>9.2.</t>
  </si>
  <si>
    <t>1155.2.</t>
  </si>
  <si>
    <t>1155.3.</t>
  </si>
  <si>
    <t>1525.1.</t>
  </si>
  <si>
    <t>1525.2.</t>
  </si>
  <si>
    <t>1525.3.</t>
  </si>
  <si>
    <t>1635.1.</t>
  </si>
  <si>
    <t>5.7.</t>
  </si>
  <si>
    <t>5.8.</t>
  </si>
  <si>
    <t>5.9.</t>
  </si>
  <si>
    <t>5.10.</t>
  </si>
  <si>
    <t>5.11.</t>
  </si>
  <si>
    <t>1. Середня кількість працівників, осіб</t>
  </si>
  <si>
    <t>2. Середньомісячні витрати на оплату праці по КНП в цілому, грн.</t>
  </si>
  <si>
    <t>3. Середньомісячні витрати на оплату праці керівників, грн.</t>
  </si>
  <si>
    <t>4. Середньомісячні витрати на оплату праці лікарів, грн.</t>
  </si>
  <si>
    <t>5. Надходження, всього</t>
  </si>
  <si>
    <t>5.1. надходження ПМГ</t>
  </si>
  <si>
    <t>5.2. від надання платних послуг та страхових виплат</t>
  </si>
  <si>
    <t>5.3. від надання майна в оренду</t>
  </si>
  <si>
    <t>5.4. цільові надходження (бюджети усіх рівнів)</t>
  </si>
  <si>
    <t>5.5. цільова благодійна допомога</t>
  </si>
  <si>
    <t>5.6. інші</t>
  </si>
  <si>
    <t xml:space="preserve">5.7. ЗБЦФ Заборгованість бюджету з цільового фінансування (Дт 37 ЗБЦФ Кт 48) </t>
  </si>
  <si>
    <t xml:space="preserve">5.8. ПЗБЦФ Погашення заборгованості бюджету з цільового фінансування  (Дт 31 Кт 37 ПЗБЦФ) </t>
  </si>
  <si>
    <t xml:space="preserve">5.9. ПЦФБ Повернення цільового фінансування у бюджет  (Д48 Кт31 ПЦФБ)  </t>
  </si>
  <si>
    <t>5.10. ЗБКВ Заборгованість бюджету  для компенсації витрат (збитків)  (Дт 37 ЗБКВ Кт 719) (п.19 ПСБО 15)</t>
  </si>
  <si>
    <t xml:space="preserve">5.11. ПЗБКВ Погашення заборгованості бюджету для компенсації витрат (збитків) (Дт 31 Кт 37 ПЗБКВ) (п.19 ПСБО 15) </t>
  </si>
  <si>
    <t>6. Придбання, оприбуткування ТМЦ, у тому числі</t>
  </si>
  <si>
    <t>6а Кількість середньомісячних запасів на складі на кінець періоду (з розрахунку використання 6 міс)</t>
  </si>
  <si>
    <t>6б Кількість середньомісячних запасів на складі на кінець періоду (з розрахунку використання 9 міс)</t>
  </si>
  <si>
    <t>6.1. за рахунок ПМГ</t>
  </si>
  <si>
    <t>6.4. інше</t>
  </si>
  <si>
    <t>7. Капітальні інвестиції, у тому числі</t>
  </si>
  <si>
    <t>7.1. за рахунок ПМГ</t>
  </si>
  <si>
    <t>7.4. інше</t>
  </si>
  <si>
    <t>8 Дохід, всього</t>
  </si>
  <si>
    <t>8.1. Дохід від реалізації, всього</t>
  </si>
  <si>
    <t>8.1.1. Готової продукції</t>
  </si>
  <si>
    <t>8.1.2. Товарів </t>
  </si>
  <si>
    <t>8.1.3. Робіт та послуг, у тому числі</t>
  </si>
  <si>
    <t>8.1.3.1. доходи ПМГ</t>
  </si>
  <si>
    <t>8.1.3.2. доходи від надання платних послуг та інші</t>
  </si>
  <si>
    <t>8.2. Інший операційний дохід, всього</t>
  </si>
  <si>
    <t>8.2.1. Цільовий інший операційний дохід (дорівнює цільовим витратам - витратам з бюджетів усіх рівнів та за рахунок благодійної допомоги)</t>
  </si>
  <si>
    <t xml:space="preserve"> 8.2.2 Інший операційний дохід від оренди</t>
  </si>
  <si>
    <t>8.2.3. Інший операційний дохід від компенсаціій за комунальні платежі від орендаря</t>
  </si>
  <si>
    <t>8.2.4. Інше (інший операційний дохід)</t>
  </si>
  <si>
    <t>8.2.4.1 у тому числі дохід на суму витрат (збитків)</t>
  </si>
  <si>
    <t>8.3. Неопераційний дохід, всього</t>
  </si>
  <si>
    <t>8.3.1. Неопераційний дохід, від амортизації по НА та ОЗ, що отримані як цільове фінансування  (Дт 69 Кт 745)</t>
  </si>
  <si>
    <t>8.3.2. Неопераційний дохід від амортизації  по НА та ОЗ, що отримані безоплатно (Дт 424 Кт 745)</t>
  </si>
  <si>
    <t>8.3.3. Інший неопераційний дохід</t>
  </si>
  <si>
    <t>9. Витрати, всього (без амортизації)</t>
  </si>
  <si>
    <t>9. Витрати, всього (з амортизацією)</t>
  </si>
  <si>
    <t>9.1. Операційні витрати, всього (без амортизвції)</t>
  </si>
  <si>
    <t>9.1. Операційні витрати, всього (з амортизацією)</t>
  </si>
  <si>
    <t>9.1.1. Витрати на оплату праці</t>
  </si>
  <si>
    <t>9.1.2. Відрахування на соціальні заходи (нарахування на оплату праці)</t>
  </si>
  <si>
    <t>9.1.3. Соціальне забезпечення</t>
  </si>
  <si>
    <t>9.1.4. Матеріальні витрати</t>
  </si>
  <si>
    <t>9.1.4.1 Медикаменти та перев'язувальні матеріали</t>
  </si>
  <si>
    <t>9.1.4.2. Паливно-мастильні матеріали</t>
  </si>
  <si>
    <t>9.1.4.3. Оплата комунальних послуг та інших  енергоносіїв  (тепло, електроенергія, вода, інше)</t>
  </si>
  <si>
    <t>9.1.5. Інші операційні витрати</t>
  </si>
  <si>
    <t>9.1.6. Амортизація</t>
  </si>
  <si>
    <t>9.2. Інші витрати (неопераційні)</t>
  </si>
  <si>
    <t xml:space="preserve"> Фінансові показники на кінець звітного періоду, тис. грн. </t>
  </si>
  <si>
    <t>1525.1. у тому числі на суму залишків з запасів, що отримані з бюджету або як благодійна допомога</t>
  </si>
  <si>
    <t>1525.2. у тому числі  на суму залишків з капітальних інвестицій, що отримані з бюджету або як благодійна допомога</t>
  </si>
  <si>
    <t>1625 Поточна кредиторська заборгованість за розрахунками зі страхування</t>
  </si>
  <si>
    <t>1630 Поточна кредиторська заборгованість за розрахунками з оплати праці</t>
  </si>
  <si>
    <t>Таблиця 12. Передача, вибуття НА, ТМЦ та незавершених капітальних інвестицій, що отримані як цільове фінансування, безоплатно отримані, гривень</t>
  </si>
  <si>
    <t>6.2. за рахунок цільового фінансування (бюджети усіх рівнів)</t>
  </si>
  <si>
    <t>7.2. за рахунок цільового фінансування (бюджети усіх рівнів)</t>
  </si>
  <si>
    <t>6.3. за рахунок цільового фінансування (благодійна допомога)</t>
  </si>
  <si>
    <t>7.3. за рахунок цільового фінансування (благодійна допомога)</t>
  </si>
  <si>
    <r>
      <rPr>
        <b/>
        <u/>
        <sz val="14"/>
        <color indexed="8"/>
        <rFont val="Times New Roman"/>
        <family val="1"/>
        <charset val="204"/>
      </rPr>
      <t>Цільові витрати</t>
    </r>
    <r>
      <rPr>
        <sz val="14"/>
        <color indexed="8"/>
        <rFont val="Times New Roman"/>
        <family val="1"/>
        <charset val="204"/>
      </rPr>
      <t xml:space="preserve">  (витрати за рахунок бюджетів усіх рівнів та благодійної допомоги )</t>
    </r>
  </si>
  <si>
    <r>
      <t xml:space="preserve">Операційні </t>
    </r>
    <r>
      <rPr>
        <sz val="14"/>
        <rFont val="Times New Roman"/>
        <family val="1"/>
        <charset val="204"/>
      </rPr>
      <t>(без амортизації)</t>
    </r>
  </si>
  <si>
    <t xml:space="preserve"> 2.1.6</t>
  </si>
  <si>
    <t>Дизенфекційні засоби</t>
  </si>
  <si>
    <t xml:space="preserve"> 2.1.7</t>
  </si>
  <si>
    <t>Продукти харчування</t>
  </si>
  <si>
    <t xml:space="preserve"> 2.1.8</t>
  </si>
  <si>
    <t>Імунобіологічні препарати</t>
  </si>
  <si>
    <t>Лікувальне харчування</t>
  </si>
  <si>
    <t xml:space="preserve"> 2.1.9</t>
  </si>
  <si>
    <t xml:space="preserve"> 1.1.4.1.6</t>
  </si>
  <si>
    <t xml:space="preserve"> 1.1.4.9</t>
  </si>
  <si>
    <t xml:space="preserve"> 1.1.4.10.1</t>
  </si>
  <si>
    <t xml:space="preserve"> 1.1.4.10.2</t>
  </si>
  <si>
    <t xml:space="preserve"> 1.1.4.10.3</t>
  </si>
  <si>
    <t xml:space="preserve"> 1.1.4.10.4</t>
  </si>
  <si>
    <t xml:space="preserve"> 1.1.4.10.5</t>
  </si>
  <si>
    <t xml:space="preserve"> 1.1.4.10.6</t>
  </si>
  <si>
    <r>
      <t>Таблиця 11. Рух пасивів в частині НА, ОЗ, дооцінки з врахуванням цільових джерел надходжень</t>
    </r>
    <r>
      <rPr>
        <i/>
        <sz val="18"/>
        <color indexed="8"/>
        <rFont val="Times New Roman"/>
        <family val="1"/>
        <charset val="204"/>
      </rPr>
      <t>, гривень</t>
    </r>
  </si>
  <si>
    <t xml:space="preserve">ПЗБКВ
Погашення заборгованості бюджету для компенсації витрат (збитків) (п.19 ПСБО 15) </t>
  </si>
  <si>
    <t>18.1.</t>
  </si>
  <si>
    <t>18.2.</t>
  </si>
  <si>
    <t>Додатковий капітал (424)</t>
  </si>
  <si>
    <t>Доходи майбутніх періодів (69)</t>
  </si>
  <si>
    <t>T13.1</t>
  </si>
  <si>
    <t>T13.2</t>
  </si>
  <si>
    <t>Увага! Неприпустимо проставляти від’ємні значення</t>
  </si>
  <si>
    <t>Таблиця 7
Оплата праці, всього</t>
  </si>
  <si>
    <t>Таблиця 7
Виробничі (23) та загальновиробничі (91) витрати+нарахування на оплату праці</t>
  </si>
  <si>
    <t>Таблиця 5.1. 
Адміністративні витрати (92)+нарахування на оплату праці</t>
  </si>
  <si>
    <t>Таблиця 7
Адміністративні витрати (92)+нарахування на оплату праці</t>
  </si>
  <si>
    <t>Таблиця 5.1. 
Цільові витрати+нарахування на оплату праці</t>
  </si>
  <si>
    <t>Таблиця 7
Цільові витрати+нарахування на оплату праці</t>
  </si>
  <si>
    <t xml:space="preserve">Витрати на оплату праці у таблиці  5.1 із врахуванням витрат на виготовлення власної продукції мають дорівнювати цим даним у таблиці 7 </t>
  </si>
  <si>
    <t>Таблиця 10 СдП - сума залишкової вартості ННМА та ОЗ, якщо значення не від’ємні, то ПРАВДА</t>
  </si>
  <si>
    <t>Таблиця 10 СдК - сума залишкової вартості ННМА та ОЗ, якщо значення не від’ємні, то ПРАВДА</t>
  </si>
  <si>
    <t>Собівартість реалізованої готової продукції</t>
  </si>
  <si>
    <t>Собівартість реалізованих товарів</t>
  </si>
  <si>
    <t xml:space="preserve"> 1.1.5.16</t>
  </si>
  <si>
    <t xml:space="preserve"> 1.1.6</t>
  </si>
  <si>
    <t xml:space="preserve"> 1.1.6.1</t>
  </si>
  <si>
    <t xml:space="preserve"> 1.1.6.2</t>
  </si>
  <si>
    <t xml:space="preserve"> 1.1.6.3</t>
  </si>
  <si>
    <t>Якщо є дохід від реалізації готової продукції р. 4.1.1 гр.3 то має бути виробнича собівартість готової продукції  р.5.1.1.1. гр.3 таблиці 5</t>
  </si>
  <si>
    <t>верифікація</t>
  </si>
  <si>
    <r>
      <rPr>
        <b/>
        <sz val="16"/>
        <color indexed="8"/>
        <rFont val="Times New Roman"/>
        <family val="1"/>
        <charset val="204"/>
      </rPr>
      <t>Верифікація даних цієї таблиці з таблицею 10 та з Балансом:</t>
    </r>
    <r>
      <rPr>
        <sz val="16"/>
        <color indexed="8"/>
        <rFont val="Times New Roman"/>
        <family val="1"/>
        <charset val="204"/>
      </rPr>
      <t xml:space="preserve">
дооцінка - таблиця 10 ( р. Т10.1.3 та р. Т10.3.3. гр.4, гр.19), Баланс р.1405 СдП та СдК ;
безоплатно отримані - таблиця 10 (р. Т10.1.1. - Т10.1.2. та Т10.3.1- Т10.3.2 гр. 5; гр.20), Баланс р.1410  СдП та СдК ;
отримані як цільове фінансування - таблиця 10 (Т10.1.1 - Т10.1.2 та Т 10.3.1.-Т10.3.2 гр. 6; гр.21), Баланс з р.1665 СдП та СдК </t>
    </r>
  </si>
  <si>
    <r>
      <rPr>
        <b/>
        <sz val="16"/>
        <color indexed="8"/>
        <rFont val="Times New Roman"/>
        <family val="1"/>
        <charset val="204"/>
      </rPr>
      <t>Верифікація Дт цієї таблиці з таблицею 10</t>
    </r>
    <r>
      <rPr>
        <sz val="16"/>
        <color indexed="8"/>
        <rFont val="Times New Roman"/>
        <family val="1"/>
        <charset val="204"/>
      </rPr>
      <t xml:space="preserve">
Дт 411 = Кт "Знос дооцінки" + "передача дооцінених ОЗ з  Т12.4"
Дт 424 =Кт "Знос (безоплатно отримані) + вибуття (безоплатно отримані) з Т12.3 
Дт  69 = Кт "Знос (ЦФ)" + вибуття (ЦФ)  Т12.2</t>
    </r>
  </si>
  <si>
    <r>
      <t xml:space="preserve">верифікація даних щодо </t>
    </r>
    <r>
      <rPr>
        <b/>
        <sz val="16"/>
        <color indexed="8"/>
        <rFont val="Times New Roman"/>
        <family val="1"/>
        <charset val="204"/>
      </rPr>
      <t>нематеріальних активів</t>
    </r>
    <r>
      <rPr>
        <sz val="16"/>
        <color indexed="8"/>
        <rFont val="Times New Roman"/>
        <family val="1"/>
        <charset val="204"/>
      </rPr>
      <t xml:space="preserve"> з відповідними даними Балансу, тис. грн.</t>
    </r>
  </si>
  <si>
    <r>
      <t xml:space="preserve">верифікація даних щодо </t>
    </r>
    <r>
      <rPr>
        <b/>
        <sz val="16"/>
        <color indexed="8"/>
        <rFont val="Times New Roman"/>
        <family val="1"/>
        <charset val="204"/>
      </rPr>
      <t>основних засобів</t>
    </r>
    <r>
      <rPr>
        <sz val="16"/>
        <color indexed="8"/>
        <rFont val="Times New Roman"/>
        <family val="1"/>
        <charset val="204"/>
      </rPr>
      <t xml:space="preserve"> з відповідними даними Балансу, тис. грн.</t>
    </r>
  </si>
  <si>
    <t>верифікація  даних таблиці 10 в частині запасів (СдП, Дт, Кт, СдК)</t>
  </si>
  <si>
    <t>Cума активи + пасиви на кінець періода не = 0, то ПРАВДА</t>
  </si>
  <si>
    <t>Якщо є дохід від реалізації товарів р. 4.1.2 гр.3 то має бути виробнича собівартість товарів  р.5.1.1.2. гр.3 таблиці 5</t>
  </si>
  <si>
    <t>Якщо є дохід від реалізації готової продукції р. 4.1.1 гр.5 то має бути виробнича собівартість готової продукції  р.5.1.1.1. гр.5 таблиці 5</t>
  </si>
  <si>
    <t>Якщо є дохід від реалізації товарів р. 4.1.2 гр.5 то має бути виробнича собівартість товарів  р.5.1.1.2. гр.5 таблиці 5</t>
  </si>
  <si>
    <t>Таблиця Кров та/або її компоненти</t>
  </si>
  <si>
    <t>Кров та/або її компоненти, дози, одиниць</t>
  </si>
  <si>
    <t>Кров та її компоненти ***</t>
  </si>
  <si>
    <t>*** якщо є оприбуткування крові та її компонентів, то мають бути заповнені відповідні дані у таблиці Кров та/або її компоненти (вкладка Звіт 7,8)</t>
  </si>
  <si>
    <t xml:space="preserve">Якщо є придбання крові та/або її компонентів р. 2.1.2. гр.3 таблиці 2, то має бути вказана відповідна кількість доз  р.1 гр.3 цієї таблиці </t>
  </si>
  <si>
    <t xml:space="preserve">Якщо є придбання крові та/або її компонентів р. 2.1.2. гр.4 таблиці 2, то має бути вказана відповідна кількість доз  р.1 гр.5 цієї таблиці </t>
  </si>
  <si>
    <t>Відшкодування вартості пільгових ліків, інсулінів</t>
  </si>
  <si>
    <t>Соціальне забезпечення (у тому пільгові пенсії)</t>
  </si>
  <si>
    <t>Таблиця 8.1. Середньомісячні витрати на оплату праці</t>
  </si>
  <si>
    <t xml:space="preserve">Якщо є витрати щодо крові та/або її компонентів р.  1.1.4.1.2 гр.3 таблиці 5.1, то має бути вказана відповідна кількість доз  р.1 гр.4 цієї таблиці </t>
  </si>
  <si>
    <t xml:space="preserve">Якщо є витрати щодо крові та/або її компонентів р.  1.1.4.1.2 гр.4 таблиці 5.1, то має бути вказана відповідна кількість доз  р.1 гр.6 цієї таблиці </t>
  </si>
  <si>
    <t>Перевірка на наявність ЄДРПОУ та інших даних, розташованих на вкладках "Звіт 1,2,3" та "Звіт 9"</t>
  </si>
  <si>
    <t>Якщо є придбання крові та/або її компонентів р. 2.1.2. гр.4 таблиці 2, то має бути вказана відповідна кількість доз  р.1 гр.5 таблиці Кров та/або її компоненти</t>
  </si>
  <si>
    <t>Якщо є витрати щодо крові та/або її компонентів р.  1.1.4.1.2 гр.4 таблиці 5.1, то має бути вказана відповідна кількість доз  р.1 гр.6 таблиці Кров та/або її компоненти</t>
  </si>
  <si>
    <t>Доходи таблиця 4 р. 4.3.1 - якщо значення менше 50 грн., але більше 0 - то помилка. Неопераційний дохід, від амортизації по НА та ОЗ, що отримані як цільове фінансування  (Дт 69 Кт 745)</t>
  </si>
  <si>
    <t>Увага! чисельність проставляється у цілих числах (п.1.9 наказу Держкомстату №286 від 28.09.2005)</t>
  </si>
  <si>
    <t>Баланс
Аванси ПМГ станом на кінець звітного періоду</t>
  </si>
  <si>
    <t>Увага! Якщо КНП змінило організаційно-правову форму господарювання або було створене не з початку звітного періоду, то виконавцю звіту необхідно зв’язатися з представником НСЗУ для зміни формули у таблиці 8.1.</t>
  </si>
  <si>
    <t>АВТОПЕРЕВІРКА</t>
  </si>
  <si>
    <t>№ зп</t>
  </si>
  <si>
    <t>№ перевірки</t>
  </si>
  <si>
    <t>Умова перевірки</t>
  </si>
  <si>
    <t>Ранж "5"</t>
  </si>
  <si>
    <t>Ранж 4</t>
  </si>
  <si>
    <t>Ранж 3</t>
  </si>
  <si>
    <t xml:space="preserve">Ранж 2 </t>
  </si>
  <si>
    <t>Послід-ть у реєстрі</t>
  </si>
  <si>
    <t>True</t>
  </si>
  <si>
    <t xml:space="preserve">Запаси (СдП+придбання ТМЦ-витрати ТМЦ =СдК) </t>
  </si>
  <si>
    <t>Нерозподілений прибуток (непокритий збиток)  (СдК-СдП) -Дт 411) =  Доходи-Витрати</t>
  </si>
  <si>
    <t>Якщо на початок року є капітал у дооцінках, то має бути його амортизація Дт 411
Амортизація по дооціненому капіталу не може бути менше 0</t>
  </si>
  <si>
    <t>Знос ОЗ та ННМА (СдК-СдП) = амортизації</t>
  </si>
  <si>
    <t>12,13,16,17</t>
  </si>
  <si>
    <t>3True</t>
  </si>
  <si>
    <t xml:space="preserve">Співставлення  Надходжень ПМГ,  Доходів ПМГ, балансу 36 ПМГ, 681 ПМГ </t>
  </si>
  <si>
    <t>7 True</t>
  </si>
  <si>
    <t>якщо перевірки №7А и №7, №8 правильні та є  69СдП, то має бути  АММ 745 (69) і 69 Кт &gt;=0 
УВАГА!!!  заповніть дохід від амортизації   АММ 745 (69)  від цільового фінансування ( Дт 69 Кт 745)  в таблиці 4  р. 4.3.1. гр. 5</t>
  </si>
  <si>
    <t>Доходи табл 4 р. 4.3.1 якщо стоїть менше 100 грн., але більше 0 - то помилка. Неопераційний дохід, від амортизації по НА та ОЗ, що отримані як цільове фінансування  (Дт 69 Кт 745)</t>
  </si>
  <si>
    <t>Доходи табл 4 р. 4.3.2 мають бути більше 100 грн.Неопераційний дохід від амортизації  по НА та ОЗ, що отримані безоплатно (Дт 424 Кт 745)</t>
  </si>
  <si>
    <t>48 Дт = 48СдП-48СдК+48 Кт
48 Кт  цільове фінансування (надходження) =  
(надходження бюджети + благодійна допомога) - 424 Кт.
424 Кт = 424 СдК + АММ 745 (424)- вибуття ОЗ  -424 СдП  
УВАГА!!!І Якщо існують госп.операції з додатковим капиталом,  заповніть  АММ 745(424) (Дт 424 Кт 745) в таблиці 4, р. 4.3.2. гр.5</t>
  </si>
  <si>
    <t>Інтегрована оцінка по структурі Балансу (№36-47)</t>
  </si>
  <si>
    <t xml:space="preserve">Сума залишкової вартості (капітал у дооцінках +  додатковий капітал   + доходи майбутніх періодів(Оз та ННМА)) складають не менше 45 % від загальної суми залишкової вартості (Нематеріальні активи + основні засоби)
</t>
  </si>
  <si>
    <t xml:space="preserve">Сума залишкової вартості (капітал у дооцінках +  додатковий капітал   + доходи майбутніх періодів(ОЗ та ННМА) дорівнюють сумі залишкової вартості нематеріальних активів + основні засоби на початок періоду, отримані безоплатно або як цільове фінансування (424 + 69)
дані в гривнях
</t>
  </si>
  <si>
    <t>неприпустимо проставляти дані у Балансі р. 1415 Резервний капітал. Резервний капітал формується за рахунок розподілу прибутку. КНП не може розподіляти прибуток, оскільки є неприбутковою організацією;</t>
  </si>
  <si>
    <t>неприпустимо проставляти дані у Балансі р. 1500 Відстрочені податкові зобов’язання. Тут наводиться сума податків на прибуток, що підлягають сплаті в майбутніх періодах, яка визначається відповідно до Положення (стандарту) 17. КНП не платник податку на прибуток;</t>
  </si>
  <si>
    <t>на нашу думку, мають бути відсутні дані у Балансі р. 1510 Довгострокові кредити банків. Тут наводиться сума заборгованості підприємства банкам за отриманими від них позиками, яка не є поточним зобов'язанням;</t>
  </si>
  <si>
    <t>на нашу думку, мають бути відсутні дані у Балансі р. 1515 Інші довгострокові зобов’язання. Тут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</si>
  <si>
    <t xml:space="preserve">на нашу думку, мають бути відсутні дані у Балансі р. 1520 Довгострокові забезпечення. Тут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t>
  </si>
  <si>
    <t>Керівники структурних підрозділів - Якщо є видатки у р.1.1.1.2. гр.8 таблиці 7 (абогр.12), то має бути чисельність у р.1 гр. 5 "Виконують адміністративні та управлінські функції" таблиці 8</t>
  </si>
  <si>
    <t>Інші працівники- Якщо є видатки у р.1.1.1.6. гр.6 таблиці 7 (або гр.12), то має бути чисельність у р.1 гр. 11 "Зайняті у наданні медичних послуг" таблиці 8</t>
  </si>
  <si>
    <t>Примітка. Якщо у комірці є технічне слово "FALSE", це значить, що дані у ній відсутні, що є правильним та не вважається помилкою</t>
  </si>
  <si>
    <t>Всього ресурс для покриття витрат</t>
  </si>
  <si>
    <r>
      <t>ПМГ</t>
    </r>
    <r>
      <rPr>
        <sz val="14"/>
        <rFont val="Times New Roman"/>
        <family val="1"/>
        <charset val="204"/>
      </rPr>
      <t xml:space="preserve"> 
(додаток Надходження ПМГ)</t>
    </r>
  </si>
  <si>
    <r>
      <t>ЗБЦФ
Заборгованість бюджету з цільового фінансування (</t>
    </r>
    <r>
      <rPr>
        <u/>
        <sz val="14"/>
        <rFont val="Times New Roman"/>
        <family val="1"/>
        <charset val="204"/>
      </rPr>
      <t>Дт 37 ЗБЦФ</t>
    </r>
    <r>
      <rPr>
        <sz val="14"/>
        <rFont val="Times New Roman"/>
        <family val="1"/>
        <charset val="204"/>
      </rPr>
      <t xml:space="preserve"> 
Кт 48) </t>
    </r>
  </si>
  <si>
    <r>
      <t xml:space="preserve">ПЗБЦФ
Погашення заборгованості бюджету з цільового фінансування
 (Дт 31 </t>
    </r>
    <r>
      <rPr>
        <u/>
        <sz val="14"/>
        <rFont val="Times New Roman"/>
        <family val="1"/>
        <charset val="204"/>
      </rPr>
      <t>Кт 37 ПЗБЦФ</t>
    </r>
    <r>
      <rPr>
        <sz val="14"/>
        <rFont val="Times New Roman"/>
        <family val="1"/>
        <charset val="204"/>
      </rPr>
      <t xml:space="preserve">) </t>
    </r>
  </si>
  <si>
    <r>
      <t xml:space="preserve">ПЦФБ
Повернення цільового фінансування у бюджет 
(Д48 </t>
    </r>
    <r>
      <rPr>
        <u/>
        <sz val="14"/>
        <rFont val="Times New Roman"/>
        <family val="1"/>
        <charset val="204"/>
      </rPr>
      <t>Кт31 ПЦФБ</t>
    </r>
    <r>
      <rPr>
        <sz val="14"/>
        <rFont val="Times New Roman"/>
        <family val="1"/>
        <charset val="204"/>
      </rPr>
      <t xml:space="preserve">)  </t>
    </r>
  </si>
  <si>
    <r>
      <t>ЗБКВ
Заборгованість бюджету  для компенсації витрат (збитків)  (</t>
    </r>
    <r>
      <rPr>
        <u/>
        <sz val="14"/>
        <rFont val="Times New Roman"/>
        <family val="1"/>
        <charset val="204"/>
      </rPr>
      <t>Дт 37 ЗБКВ</t>
    </r>
    <r>
      <rPr>
        <sz val="14"/>
        <rFont val="Times New Roman"/>
        <family val="1"/>
        <charset val="204"/>
      </rPr>
      <t xml:space="preserve"> Кт 719) (п.19 ПСБО 15)</t>
    </r>
  </si>
  <si>
    <r>
      <t xml:space="preserve">Дт 401 </t>
    </r>
    <r>
      <rPr>
        <b/>
        <sz val="14"/>
        <rFont val="Times New Roman"/>
        <family val="1"/>
        <charset val="204"/>
      </rPr>
      <t>Кт 37 ПЗБКВ</t>
    </r>
  </si>
  <si>
    <r>
      <t>Придбання, оприбуткування ТМЦ, всього</t>
    </r>
    <r>
      <rPr>
        <i/>
        <sz val="14"/>
        <rFont val="Times New Roman"/>
        <family val="1"/>
        <charset val="204"/>
      </rPr>
      <t>, у тому числі</t>
    </r>
  </si>
  <si>
    <r>
      <t>Інші надходження, всього</t>
    </r>
    <r>
      <rPr>
        <i/>
        <sz val="14"/>
        <rFont val="Times New Roman"/>
        <family val="1"/>
        <charset val="204"/>
      </rPr>
      <t xml:space="preserve">, у тому числі </t>
    </r>
  </si>
  <si>
    <r>
      <t>Капітальні інвестиції, всього</t>
    </r>
    <r>
      <rPr>
        <i/>
        <sz val="14"/>
        <rFont val="Times New Roman"/>
        <family val="1"/>
        <charset val="204"/>
      </rPr>
      <t>, у тому числі</t>
    </r>
  </si>
  <si>
    <r>
      <t>Капітальне будівництво</t>
    </r>
    <r>
      <rPr>
        <i/>
        <sz val="14"/>
        <rFont val="Times New Roman"/>
        <family val="1"/>
        <charset val="204"/>
      </rPr>
      <t xml:space="preserve">, у тому числі </t>
    </r>
  </si>
  <si>
    <r>
      <t>Основні засоби</t>
    </r>
    <r>
      <rPr>
        <i/>
        <sz val="14"/>
        <rFont val="Times New Roman"/>
        <family val="1"/>
        <charset val="204"/>
      </rPr>
      <t xml:space="preserve">,  у тому числі </t>
    </r>
  </si>
  <si>
    <r>
      <t>ННМА, всього</t>
    </r>
    <r>
      <rPr>
        <sz val="14"/>
        <rFont val="Times New Roman"/>
        <family val="1"/>
        <charset val="204"/>
      </rPr>
      <t>,</t>
    </r>
    <r>
      <rPr>
        <i/>
        <sz val="14"/>
        <rFont val="Times New Roman"/>
        <family val="1"/>
        <charset val="204"/>
      </rPr>
      <t xml:space="preserve"> у тому числі </t>
    </r>
  </si>
  <si>
    <r>
      <t>Баланс
заборгованість з цільового фінансування, тис. грн. (</t>
    </r>
    <r>
      <rPr>
        <u/>
        <sz val="14"/>
        <rFont val="Times New Roman"/>
        <family val="1"/>
        <charset val="204"/>
      </rPr>
      <t>Дт 37 ЗБЦФ</t>
    </r>
    <r>
      <rPr>
        <sz val="14"/>
        <rFont val="Times New Roman"/>
        <family val="1"/>
        <charset val="204"/>
      </rPr>
      <t xml:space="preserve"> Кт 48) </t>
    </r>
  </si>
  <si>
    <t>Ремонт ННМА (прикладне програмне забезпечення - ППЗ)</t>
  </si>
  <si>
    <t>1. Структура надходжень до КНП грошових коштів та ресурсів в натуральній формі</t>
  </si>
  <si>
    <t>Програма медичних гарантій</t>
  </si>
  <si>
    <t>Платні послуги, страхові виплати</t>
  </si>
  <si>
    <t>Інше</t>
  </si>
  <si>
    <t>Державний бюджет (в т.ч. централізовані закупівлі, тощо)</t>
  </si>
  <si>
    <t xml:space="preserve">Обласний, районний та бюджет місцевого самоврядування </t>
  </si>
  <si>
    <t>%</t>
  </si>
  <si>
    <t>структура, %</t>
  </si>
  <si>
    <t>Платні послуги, страхові виплати, інше</t>
  </si>
  <si>
    <t>Грошові кошти на початок періоду</t>
  </si>
  <si>
    <t>Надходження грошових коштів</t>
  </si>
  <si>
    <t xml:space="preserve">Всього грошових коштів в наявності </t>
  </si>
  <si>
    <t>100</t>
  </si>
  <si>
    <t>3</t>
  </si>
  <si>
    <t>Використання грошових коштів</t>
  </si>
  <si>
    <t>Грошові кошти на кінець періоду</t>
  </si>
  <si>
    <t>* придбання ТМЦ, капітальних інвестицій, оплати праці (у т.ч. ЄСВ), соціального забезпечення, комунальних послуг, ремонтів, робіт, послуг, інше (за грошові кошти)</t>
  </si>
  <si>
    <t>3. Структура придбання, оприбуткування за грошові кошти та у натуральній формі</t>
  </si>
  <si>
    <t xml:space="preserve">Всього придбання, оприбуткування* </t>
  </si>
  <si>
    <t>Придбання, оприбуткування товарно-матеріальних цінностей</t>
  </si>
  <si>
    <t>1.1.1.</t>
  </si>
  <si>
    <t>1.1.2.</t>
  </si>
  <si>
    <t>1.1.3.</t>
  </si>
  <si>
    <t>1.1.4.</t>
  </si>
  <si>
    <t>1.1.5.</t>
  </si>
  <si>
    <t>1.1.6.</t>
  </si>
  <si>
    <t>Інше придбання та оприбуткування</t>
  </si>
  <si>
    <t>Витрати на оплату праці (у т.ч. ЄСВ) та соціальне забезпечення</t>
  </si>
  <si>
    <t>Витрати на оплату робіт, послуг, інше</t>
  </si>
  <si>
    <t>1.4.</t>
  </si>
  <si>
    <t>1.5.</t>
  </si>
  <si>
    <t>1.6.</t>
  </si>
  <si>
    <t>Капітальні інвестиції</t>
  </si>
  <si>
    <t>1.6.1.</t>
  </si>
  <si>
    <t>Придбання, створення</t>
  </si>
  <si>
    <t>1.6.2.</t>
  </si>
  <si>
    <t>Модернізація, модифікація, капітальний ремонт</t>
  </si>
  <si>
    <t>* придбання ТМЦ, капітальних інвестицій, оплати праці (у т.ч. ЄСВ), соціального забезпечення, комунальних послуг, ремонтів, робіт, послуг, інше  (за грошові кошти та у натуральній формі)</t>
  </si>
  <si>
    <t>4. Покриття витрат</t>
  </si>
  <si>
    <t>Дохід від реалізаціі товарів, готової продукції, робіт та послуг  (з авансами ПМГ)</t>
  </si>
  <si>
    <t>Товарів та готової продукції (продаж аптеками ліків, власних запасів тощо)</t>
  </si>
  <si>
    <t>1.1.2.1.</t>
  </si>
  <si>
    <t xml:space="preserve"> дохід за рахунок надання платних послуг </t>
  </si>
  <si>
    <t>1.1.2.2.</t>
  </si>
  <si>
    <t>дохід ПМГ з авансами ПМГ</t>
  </si>
  <si>
    <t>Інший операційний дохід, у тому числі</t>
  </si>
  <si>
    <t>1.3.1.</t>
  </si>
  <si>
    <t>цільовий інший операційний дохід</t>
  </si>
  <si>
    <t>дохід від оренди, від компенсаціій за комунальні платежі від орендаря, інше</t>
  </si>
  <si>
    <t>дохід  для покриття витрат (збитків) за рахунок бюджету</t>
  </si>
  <si>
    <t>Неопераційний дохід</t>
  </si>
  <si>
    <t>у тому числі від амортизації по НА та ОЗ</t>
  </si>
  <si>
    <t>2.1.</t>
  </si>
  <si>
    <t>2.2.</t>
  </si>
  <si>
    <t>2.3.</t>
  </si>
  <si>
    <t>2.4.</t>
  </si>
  <si>
    <t>2.5.</t>
  </si>
  <si>
    <t>2.6.</t>
  </si>
  <si>
    <t>2.7.</t>
  </si>
  <si>
    <t>2.8.</t>
  </si>
  <si>
    <t>2.9.</t>
  </si>
  <si>
    <t>Вирахування з доходу (з мінусом)</t>
  </si>
  <si>
    <t>4.1.4.1.</t>
  </si>
  <si>
    <r>
      <t xml:space="preserve">Таблиця 13. Деталізація оборотів по Дт 411, </t>
    </r>
    <r>
      <rPr>
        <i/>
        <sz val="18"/>
        <rFont val="Times New Roman"/>
        <family val="1"/>
        <charset val="204"/>
      </rPr>
      <t>гривень</t>
    </r>
  </si>
  <si>
    <t>T13.3</t>
  </si>
  <si>
    <t>рух по 13 рахунку щодо дооцінки</t>
  </si>
  <si>
    <t>передача, вибуття ОЗ, що були дооцінені  (Дт 411 Кт 441)</t>
  </si>
  <si>
    <t>коригування прибутку</t>
  </si>
  <si>
    <t xml:space="preserve">Дебет 
(з таблиці 4 та Т13 (Т13.1+Т13.2)
Доходи =АММ),  </t>
  </si>
  <si>
    <t xml:space="preserve">Т13 (Т13.1+Т13.2) </t>
  </si>
  <si>
    <r>
      <t xml:space="preserve">Таблиця 12, р. Т12.4
Передача, вибуття ОЗ, що були дооцінені
</t>
    </r>
    <r>
      <rPr>
        <b/>
        <sz val="14"/>
        <color indexed="10"/>
        <rFont val="Times New Roman"/>
        <family val="1"/>
        <charset val="204"/>
      </rPr>
      <t>Значення не може бути від’ємним!</t>
    </r>
  </si>
  <si>
    <t xml:space="preserve">розрахунково
СдК - СдП- (Дт411 у кореспонденції з Кт441) </t>
  </si>
  <si>
    <t>розрахунково
Дт13 знос (ОЗ + ННМА) =СдП-СдК + Кт</t>
  </si>
  <si>
    <t>Розрахунково 
Кт13  (таблиця 10 рядки зносу та руху по 13 рахунку щодо дооцінки) - дооцінка зносу періоду (р. Т13.1.)</t>
  </si>
  <si>
    <t>№14а</t>
  </si>
  <si>
    <t>№15а</t>
  </si>
  <si>
    <t>Дані перевірок №1,3 з таблиці 14, р. Т14.1.
якщо дані =0, то ПРАВДА</t>
  </si>
  <si>
    <t>відхилення
розрахунковий Кт13 - Таблиця 5.1. р. 1.1.6 гр.4</t>
  </si>
  <si>
    <t>Таблиця 5.1, р. 1.1.6 
гр. 4
Амортизація</t>
  </si>
  <si>
    <t>відхилення
розрахунковий Дт13 - Таблиця 10 Дт знос</t>
  </si>
  <si>
    <t>Знос ОЗ та ННМА (СдП-СдК +Кт) = амортизації</t>
  </si>
  <si>
    <t>відхилення
Дт у таблиці 3 - Дт у таблиці 10</t>
  </si>
  <si>
    <t>Т11.1а</t>
  </si>
  <si>
    <t>Т11.2а</t>
  </si>
  <si>
    <t>у тому числі земля</t>
  </si>
  <si>
    <r>
      <t xml:space="preserve">Якщо на початок року є капітал у дооцінках, то має бути його амортизація Дт 411 (крім дооцінки землі)
</t>
    </r>
    <r>
      <rPr>
        <b/>
        <sz val="14"/>
        <color indexed="10"/>
        <rFont val="Times New Roman"/>
        <family val="1"/>
        <charset val="204"/>
      </rPr>
      <t xml:space="preserve">Амортизація дооціненого капіталу не може бути менше 0 
</t>
    </r>
  </si>
  <si>
    <t>Нерозподілений прибуток (непокритий збиток)  СдК-СдП -  (Дт411 у кореспонденції з Кт441)  =  Доходи-Витрати</t>
  </si>
  <si>
    <t>Баланс
капітал у дооцінках крім землі (411 СдП)</t>
  </si>
  <si>
    <t>Баланс
капітал у дооцінках крім землі (411 СдК)</t>
  </si>
  <si>
    <t xml:space="preserve">Таблиця 11, СдП 
р. Т11.1 -Т11.1а гр.4
</t>
  </si>
  <si>
    <t xml:space="preserve">Таблиця 11, СдК
р. Т11.1 -Т11.1а гр.7
</t>
  </si>
  <si>
    <t xml:space="preserve">АММ 745 (424) (від додатково капіталу Дт 424 Кт 745) р.4.3.2. гр.5 таблиці 4 + передача ОЗ, залишкова вартість яких обліковується у додатковому капіталі
</t>
  </si>
  <si>
    <t>у тому числі через повернення залишку коштів по 33 пакету (з мінусом)</t>
  </si>
  <si>
    <t xml:space="preserve"> 4.2.1.1</t>
  </si>
  <si>
    <t>4.2.4.1.</t>
  </si>
  <si>
    <t xml:space="preserve"> у тому числі дохід від безоплатно отриманої цільової послуги</t>
  </si>
  <si>
    <t>Таблиця 1
надходження у натуральній формі (Благодійна допомога)</t>
  </si>
  <si>
    <t>Таблиця 1
надходження у натуральній формі (місцеві бюджети)</t>
  </si>
  <si>
    <t>Таблиця 5
Виробнича собівартість готової продукції та товарів</t>
  </si>
  <si>
    <t xml:space="preserve">Коригування прибутку по дооцінці </t>
  </si>
  <si>
    <t>*** якщо є витрати за статтею "Кров та її компоненти", то мають бути заповнені відповідні дані у таблиці Кров та/або її компоненти (вкладка Звіт 7,8)</t>
  </si>
  <si>
    <t>***таблиця заповнюється за умови наявності даних у відповідній статті розділів Придбання ТМЦ та/або Витрати</t>
  </si>
  <si>
    <t>Таблиця 1
надходження у натуральній формі (ДБУ)</t>
  </si>
  <si>
    <t>натуральна форма</t>
  </si>
  <si>
    <t>Сальдо на початок періоду</t>
  </si>
  <si>
    <t>Дт</t>
  </si>
  <si>
    <t>Кт (використання)</t>
  </si>
  <si>
    <t>Сальдо на кінець періоду</t>
  </si>
  <si>
    <t>Кількість середньомісячних запасів на складі на кінець періоду</t>
  </si>
  <si>
    <t>Кт розрахунковий</t>
  </si>
  <si>
    <t>Запаси, тис. грн.</t>
  </si>
  <si>
    <t>використання та залишок всіх запасів у % до наявних</t>
  </si>
  <si>
    <t>структура залишків запасів та придбання, оприбуткування, %</t>
  </si>
  <si>
    <t>1.1.7.</t>
  </si>
  <si>
    <t>1.1.8.</t>
  </si>
  <si>
    <t>1.1.9.</t>
  </si>
  <si>
    <t>Кров та її компоненти</t>
  </si>
  <si>
    <t>Т12.4 (Т13.3)</t>
  </si>
  <si>
    <t>2.4. Цільові витрати  (витрати за рахунок бюджетів усіх рівнів та благодійної допомоги )</t>
  </si>
  <si>
    <t xml:space="preserve"> 2.1 Сировина й матеріали, у тому числі</t>
  </si>
  <si>
    <t xml:space="preserve"> 2.1.1 Лікарські засоби</t>
  </si>
  <si>
    <t xml:space="preserve"> 2.1.2 Кров та її компоненти ***</t>
  </si>
  <si>
    <t xml:space="preserve"> 2.1.3 Вироби медичного призначення та допоміжні засоби слуху, зору, руху, засоби протезування для кардіології, ендопротезів, інші протези тощо</t>
  </si>
  <si>
    <t xml:space="preserve"> 2.1.4 Імунобіологічні препарати</t>
  </si>
  <si>
    <t xml:space="preserve"> 2.1.5 Лікувальне харчування</t>
  </si>
  <si>
    <t xml:space="preserve"> 2.1.6 Дизенфекційні засоби</t>
  </si>
  <si>
    <t xml:space="preserve"> 2.1.7 Засоби індивідуального захисту</t>
  </si>
  <si>
    <t xml:space="preserve"> 2.1.8 Продукти харчування</t>
  </si>
  <si>
    <t xml:space="preserve"> 2.1.9 Інші матеріали</t>
  </si>
  <si>
    <t xml:space="preserve"> 2.2 Купівельні напівфабрикати та комплектуючі вироби</t>
  </si>
  <si>
    <t xml:space="preserve"> 2.3 Паливо</t>
  </si>
  <si>
    <t xml:space="preserve"> 2.4 Тара й тарні матеріали</t>
  </si>
  <si>
    <t xml:space="preserve"> 2.5 Будівельні матеріали</t>
  </si>
  <si>
    <t xml:space="preserve"> 2.6 Матеріали, передані в переробку</t>
  </si>
  <si>
    <t xml:space="preserve"> 2.7 Запасні частини</t>
  </si>
  <si>
    <t xml:space="preserve"> 2.8 Матеріали сільськогосподарського призначення</t>
  </si>
  <si>
    <t xml:space="preserve"> 2.9 Інші матеріали</t>
  </si>
  <si>
    <t xml:space="preserve"> 2.10 Готова продукція (26)  </t>
  </si>
  <si>
    <t xml:space="preserve"> 2.11 Товари (28)</t>
  </si>
  <si>
    <t xml:space="preserve"> 1.1 Операційні (без амортизації)</t>
  </si>
  <si>
    <t xml:space="preserve"> 1.1.3 Соціальне забезпечення (у тому пільгові пенсії)</t>
  </si>
  <si>
    <t xml:space="preserve"> 1.1.4.1.1 Лікарські засоби</t>
  </si>
  <si>
    <t xml:space="preserve"> 1.1.4.1.2 Кров та її компоненти </t>
  </si>
  <si>
    <t xml:space="preserve"> 1.1.4.1.3 Вироби медичного призначення та допоміжні засоби слуху, зору, руху, засоби протезування для кардіології, ендопротезів, інші протези тощо</t>
  </si>
  <si>
    <t xml:space="preserve"> 1.1.4.1.4 Імунобіологічні препарати</t>
  </si>
  <si>
    <t xml:space="preserve"> 1.1.4.1.5 Лікувальне харчування</t>
  </si>
  <si>
    <t xml:space="preserve"> 1.1.4.1.6 Дезинфекційні засоби</t>
  </si>
  <si>
    <t xml:space="preserve"> 1.1.4.2 Засоби індивідуального захисту</t>
  </si>
  <si>
    <t xml:space="preserve"> 1.1.4.4 Предмети, матеріали та інвентар</t>
  </si>
  <si>
    <t xml:space="preserve"> 1.1.4.5 Будівельні матеріали</t>
  </si>
  <si>
    <t xml:space="preserve"> 1.1.4.6 Паливно-мастильні матеріали</t>
  </si>
  <si>
    <t xml:space="preserve"> 1.1.4.7 Оплата комунальних послуг та інших  енергоносіїв  (тепло, електроенергія, вода, інше)</t>
  </si>
  <si>
    <t xml:space="preserve"> 1.1.4.8 М’який інвентар</t>
  </si>
  <si>
    <t xml:space="preserve"> 1.1.4.9 Господарські матеріали</t>
  </si>
  <si>
    <t xml:space="preserve"> 1.1.4.10 Ремонт</t>
  </si>
  <si>
    <t xml:space="preserve"> 1.1.4.10.1 Ремонт медичного обладнання</t>
  </si>
  <si>
    <t xml:space="preserve"> 1.1.4.10.2 Ремонт приміщень</t>
  </si>
  <si>
    <t xml:space="preserve"> 1.1.4.10.3 Ремонт ліфтів, оргтехніки, ПК</t>
  </si>
  <si>
    <t xml:space="preserve"> 1.1.4.10.4 Ремонт Авто</t>
  </si>
  <si>
    <t xml:space="preserve"> 1.1.4.10.5 Ремонт ННМА (прикладне програмне забезпечення - ППЗ)</t>
  </si>
  <si>
    <t xml:space="preserve"> 1.1.4.10.6 Інший ремонт</t>
  </si>
  <si>
    <t xml:space="preserve"> 1.1.4.11 Інші матеріальні витрати</t>
  </si>
  <si>
    <t xml:space="preserve"> 1.1.5.3  Послуги (крім комунальних)</t>
  </si>
  <si>
    <t xml:space="preserve"> 1.1.5.15 Відшкодування вартості пільгових ліків, інсулінів</t>
  </si>
  <si>
    <t xml:space="preserve"> 1.1.5.16 Інші витрати</t>
  </si>
  <si>
    <t xml:space="preserve"> 1.1.6 Амортизація</t>
  </si>
  <si>
    <t xml:space="preserve"> 1.1.6.1 Амортизація основних засобів </t>
  </si>
  <si>
    <t xml:space="preserve"> 1.1.6.2 Амортизація інших необоротних матеріальних активів </t>
  </si>
  <si>
    <t xml:space="preserve"> 1.1.6.3 Амортизація нематеріальних активів </t>
  </si>
  <si>
    <t>структура витрат, %</t>
  </si>
  <si>
    <t>Доходи та витрати в частині продукції, товарів, робіт, послуг</t>
  </si>
  <si>
    <t>статті</t>
  </si>
  <si>
    <t>1. Дохід від реалізаціі, всього</t>
  </si>
  <si>
    <t>1.1. Готової продукції</t>
  </si>
  <si>
    <t>1.2. Товарів </t>
  </si>
  <si>
    <t>1.3. Робіт та послуг</t>
  </si>
  <si>
    <t>2.1. Готова продукція</t>
  </si>
  <si>
    <t>2.2. Товари</t>
  </si>
  <si>
    <t>2.3. Роботи та послуги</t>
  </si>
  <si>
    <t>2. Виробнича собівартість, всього</t>
  </si>
  <si>
    <t>УВАГА! Всі дані заповнюється у ГРИВНЯХ з двома знаками після коми!</t>
  </si>
  <si>
    <t>УВАГА! Баланс заповнюється у ТИСЯЧАХ гривень з одним знаком після коми!</t>
  </si>
  <si>
    <t>Якщо є непокритий збиток на початок періоду, то ПОМИЛКА</t>
  </si>
  <si>
    <t>валідація</t>
  </si>
  <si>
    <r>
      <t xml:space="preserve">Дт 31 </t>
    </r>
    <r>
      <rPr>
        <b/>
        <sz val="14"/>
        <rFont val="Times New Roman"/>
        <family val="1"/>
        <charset val="204"/>
      </rPr>
      <t>Кт 48
Дт 48 Кт 37  ПЗБКВ</t>
    </r>
  </si>
  <si>
    <r>
      <t xml:space="preserve"> 48 Кт = цільове фінансування (надходження) - 424 Кт + ЗБЦФ - ПЗБЦФ 
 </t>
    </r>
    <r>
      <rPr>
        <b/>
        <sz val="14"/>
        <color indexed="10"/>
        <rFont val="Times New Roman"/>
        <family val="1"/>
        <charset val="204"/>
      </rPr>
      <t>Значення не може бути від’ємним!</t>
    </r>
  </si>
  <si>
    <t>Баланс
додатковий капітал  (424 СдП)</t>
  </si>
  <si>
    <t>Баланс
додатковий капітал  (424 СдК)</t>
  </si>
  <si>
    <t>Таблиця 11 
Додатковий капітал, крім землі СдП
р. Т11.2  - Т11.2а гр.4</t>
  </si>
  <si>
    <t>Таблиця 11 
Додатковий капітал, крім землі СдК
р. Т11.2  - Т11.2а гр.7</t>
  </si>
  <si>
    <r>
      <t xml:space="preserve">передача, вибуття ОЗ, залишкова вартість яких обліковується у додатковому капіталі </t>
    </r>
    <r>
      <rPr>
        <sz val="14"/>
        <color indexed="10"/>
        <rFont val="Times New Roman"/>
        <family val="1"/>
        <charset val="204"/>
      </rPr>
      <t>Значення не може бути від’ємним!</t>
    </r>
  </si>
  <si>
    <t>Всього дохід без АММ + аванси ПМГ</t>
  </si>
  <si>
    <t xml:space="preserve">Таблиця 5.1
Операційні та неопераційні витрати без амортизації, всього </t>
  </si>
  <si>
    <t xml:space="preserve">Таблиця 5.1
Операційні та неопераційні витрати з амортизацією, всього </t>
  </si>
  <si>
    <t>Таблиця 4, р.4 гр.5
Дохід без доходу від амортизації, всього</t>
  </si>
  <si>
    <t>Таблиця 4, р.4 гр.5
Всього дохід</t>
  </si>
  <si>
    <t>Всього витрати з амортизацією</t>
  </si>
  <si>
    <t>Всього витрати без амортизації</t>
  </si>
  <si>
    <t xml:space="preserve">Погашення заборгованості бюджету для компенсації витрат (збитків) (п.19 ПСБО 15) </t>
  </si>
  <si>
    <t xml:space="preserve">ПЗБКВ
Дт 31 Кт 48
Дт 48 Кт 37  </t>
  </si>
  <si>
    <t xml:space="preserve">№32А </t>
  </si>
  <si>
    <t xml:space="preserve">№32Б </t>
  </si>
  <si>
    <t xml:space="preserve">№32 В </t>
  </si>
  <si>
    <t>Амортизація (таблиця 6 п. 6.5) - (таблиця 4 + таблиця 13 р.13.2) &gt;=0, то ПРАВДА</t>
  </si>
  <si>
    <t>Верифікація Дт таблиці 11 з таблицею 10</t>
  </si>
  <si>
    <t>Верифікація Кт таблиці 11 з таблицею 10</t>
  </si>
  <si>
    <t>верифікація даних СдП та СдК</t>
  </si>
  <si>
    <t>3. Верифікація даних СдП та СдК таблиці 10 щодо основних засобів  з відповідними даними Балансу</t>
  </si>
  <si>
    <t>2. Верифікація - незавершені капітальні інвестиці</t>
  </si>
  <si>
    <t>Верифікація ВОП - якщо 0, то ПРАВДА</t>
  </si>
  <si>
    <t>Верифікація осіб - якщо 0, то ПРАВДА</t>
  </si>
  <si>
    <t>На початок періоду</t>
  </si>
  <si>
    <t>На кінець періоду періоду</t>
  </si>
  <si>
    <t>8.1.4. Вирахування з доходу</t>
  </si>
  <si>
    <t>8.1.4.1.</t>
  </si>
  <si>
    <t xml:space="preserve">8.1.4.1. у тому числі через повернення залишку коштів по 33 пакету </t>
  </si>
  <si>
    <t>9.1.4.4. Ремонт</t>
  </si>
  <si>
    <t>9.1.4.5. Інші матеріальні витрати</t>
  </si>
  <si>
    <t>9.3.</t>
  </si>
  <si>
    <t>9.3. Виробнича собівартість готової продукції та товарів</t>
  </si>
  <si>
    <r>
      <rPr>
        <b/>
        <sz val="14"/>
        <color indexed="8"/>
        <rFont val="Times New Roman"/>
        <family val="1"/>
        <charset val="204"/>
      </rPr>
      <t xml:space="preserve">Фінансовий результат без амортизації
</t>
    </r>
    <r>
      <rPr>
        <sz val="14"/>
        <color indexed="8"/>
        <rFont val="Times New Roman"/>
        <family val="1"/>
        <charset val="204"/>
      </rPr>
      <t xml:space="preserve">
Доходи без доходів від амортизації - витрати (таблиця 5 виробнича собівартість готової продукції та товарів + витрати таблиця 5.1. без амортизації) &gt;= 0</t>
    </r>
  </si>
  <si>
    <r>
      <rPr>
        <b/>
        <sz val="14"/>
        <color indexed="8"/>
        <rFont val="Times New Roman"/>
        <family val="1"/>
        <charset val="204"/>
      </rPr>
      <t>Фінансовий результат</t>
    </r>
    <r>
      <rPr>
        <sz val="14"/>
        <color indexed="8"/>
        <rFont val="Times New Roman"/>
        <family val="1"/>
        <charset val="204"/>
      </rPr>
      <t xml:space="preserve">
Доходи - витрати (таблиця 5 виробнича собівартість готової продукції та товарів + витрати таблиця 5.1. з амортизацією) &gt;= 0</t>
    </r>
  </si>
  <si>
    <t>8а</t>
  </si>
  <si>
    <t xml:space="preserve">  1125.1.    у тому числі за ПМГ</t>
  </si>
  <si>
    <r>
      <t xml:space="preserve">10 Фінансовий результат без амортизації, грн.
</t>
    </r>
    <r>
      <rPr>
        <i/>
        <sz val="14"/>
        <color indexed="8"/>
        <rFont val="Times New Roman"/>
        <family val="1"/>
        <charset val="204"/>
      </rPr>
      <t xml:space="preserve">Доходи без доходів від амортизації - витрати (таблиця 5 виробнича собівартість готової продукції та товарів + витрати таблиця 5.1. без амортизації) </t>
    </r>
  </si>
  <si>
    <r>
      <t xml:space="preserve">11. Покриття витрат без амортизації, грн.
</t>
    </r>
    <r>
      <rPr>
        <i/>
        <sz val="14"/>
        <color indexed="8"/>
        <rFont val="Times New Roman"/>
        <family val="1"/>
        <charset val="204"/>
      </rPr>
      <t>Доходи без доходів від амортизації з авансами ПМГ - витрати (таблиця 5 виробнича собівартість готової продукції та товарів + витрати таблиця 5.1. без амортизації)</t>
    </r>
  </si>
  <si>
    <r>
      <t xml:space="preserve">12 Фінансовий результат, грн.
</t>
    </r>
    <r>
      <rPr>
        <i/>
        <sz val="14"/>
        <color indexed="8"/>
        <rFont val="Times New Roman"/>
        <family val="1"/>
        <charset val="204"/>
      </rPr>
      <t xml:space="preserve">Доходи - витрати (таблиця 5 виробнича собівартість готової продукції та товарів + витрати таблиця 5.1. з амортизацією) </t>
    </r>
  </si>
  <si>
    <r>
      <t xml:space="preserve">13 Покриття витрат з амортизацією, грн.
</t>
    </r>
    <r>
      <rPr>
        <i/>
        <sz val="14"/>
        <color indexed="8"/>
        <rFont val="Times New Roman"/>
        <family val="1"/>
        <charset val="204"/>
      </rPr>
      <t xml:space="preserve">Доходи +  аванси ПМГ + коригування прибутку з дооцінки  - витрати (таблиця 5 виробнича собівартість готової продукції та товарів + витрати таблиця 5.1. з амортизацією)) </t>
    </r>
  </si>
  <si>
    <t>10а</t>
  </si>
  <si>
    <t>11а</t>
  </si>
  <si>
    <t>12а</t>
  </si>
  <si>
    <t>13а</t>
  </si>
  <si>
    <t>10а Фінансовий результат без амортизації, %</t>
  </si>
  <si>
    <t>11а Покриття витрат без амортизації, %</t>
  </si>
  <si>
    <t>12а Фінансовий результат, %</t>
  </si>
  <si>
    <t>13а Покриття витрат з амортизацією, %</t>
  </si>
  <si>
    <t>фінансовий результат без амортизації, тис. грн.</t>
  </si>
  <si>
    <t>фінансовий результат без амортизації,%</t>
  </si>
  <si>
    <t>результат  покриття витрат без амортизації, тис. грн.</t>
  </si>
  <si>
    <t>результат  покриття витрат без амортизації, %</t>
  </si>
  <si>
    <t>фінансовий результат, тис. грн.</t>
  </si>
  <si>
    <t>фінансовий результат, %</t>
  </si>
  <si>
    <t>результат  покриття витрат, тис. грн.</t>
  </si>
  <si>
    <t>результат  покриття витрат, %</t>
  </si>
  <si>
    <t xml:space="preserve">ПЗБКВ
Дт 401 Кт 37 </t>
  </si>
  <si>
    <t>Необхідно відповісти на запитання: який метод дооцінки ННМА та ОЗ використовується?</t>
  </si>
  <si>
    <t>Дт 10 Кт 411; 
Дт 411 Кт 13</t>
  </si>
  <si>
    <t>Дт 10 Кт 411; 
Дт 10 Кт 13</t>
  </si>
  <si>
    <r>
      <rPr>
        <b/>
        <sz val="14"/>
        <color indexed="8"/>
        <rFont val="Times New Roman"/>
        <family val="1"/>
        <charset val="204"/>
      </rPr>
      <t>Верифікація Кт цієї таблиці з таблицею 10</t>
    </r>
    <r>
      <rPr>
        <sz val="14"/>
        <color indexed="8"/>
        <rFont val="Times New Roman"/>
        <family val="1"/>
        <charset val="204"/>
      </rPr>
      <t xml:space="preserve">
якщо Кт 411 = Дт "Первісна вартість дооцінки", то ПРАВДА
якщо </t>
    </r>
    <r>
      <rPr>
        <b/>
        <sz val="14"/>
        <color indexed="8"/>
        <rFont val="Times New Roman"/>
        <family val="1"/>
        <charset val="204"/>
      </rPr>
      <t>Кт 424</t>
    </r>
    <r>
      <rPr>
        <sz val="14"/>
        <color indexed="8"/>
        <rFont val="Times New Roman"/>
        <family val="1"/>
        <charset val="204"/>
      </rPr>
      <t xml:space="preserve"> =Дт "Капітальні інвестиції (безоплатно отримані)" = Кт "Капітальні інвестиції (безоплатно отримані)"  = Дт "(первісна вартість ОЗ + НА) безоплатно отримані " та СдК "Капітальні інвестиції (безоплатно отримані)"  = 0,  то Правда
якщо  </t>
    </r>
    <r>
      <rPr>
        <b/>
        <sz val="14"/>
        <color indexed="8"/>
        <rFont val="Times New Roman"/>
        <family val="1"/>
        <charset val="204"/>
      </rPr>
      <t>Кр 424</t>
    </r>
    <r>
      <rPr>
        <sz val="14"/>
        <color indexed="8"/>
        <rFont val="Times New Roman"/>
        <family val="1"/>
        <charset val="204"/>
      </rPr>
      <t xml:space="preserve"> =  Дт "(первісна вартість ОЗ + НА) безоплатно отримані " та СдК "Капітальні інвестиції (безоплатно отримані)"  &gt; 0, то Увага
якщо </t>
    </r>
    <r>
      <rPr>
        <b/>
        <sz val="14"/>
        <color indexed="8"/>
        <rFont val="Times New Roman"/>
        <family val="1"/>
        <charset val="204"/>
      </rPr>
      <t>Кт 69</t>
    </r>
    <r>
      <rPr>
        <sz val="14"/>
        <color indexed="8"/>
        <rFont val="Times New Roman"/>
        <family val="1"/>
        <charset val="204"/>
      </rPr>
      <t xml:space="preserve"> = Кт "Капітальні інвестиції (ЦФ)" введено в експлуатацію =Дт "первісна вартість ОЗ + НА", то ПРАВДА
</t>
    </r>
  </si>
  <si>
    <t>варіант 
№1</t>
  </si>
  <si>
    <t>варіант 
№2</t>
  </si>
  <si>
    <t>1. Первісна вартість дооцінки проходить по Кт 411, а дооцінку зносу - по Дт 411
якщо варіант №1, то у комірці І56 по замовчанню стоїть  цифра 1, якщо варіант №2  - то у комірці І56 потрібно цифру 1 замінити на 0</t>
  </si>
  <si>
    <t xml:space="preserve">*при варіанті №2 проведення  не враховується у суму Дт 411 </t>
  </si>
  <si>
    <t>маркер правильності відображення вибору варіанту дооцінки:
якщо у варіанті №1 стоїть 1, то у варіанті №2 має стояти 0;
якщо у варіанті №1 стоїть 0, то у варіанті №2 має стояти 2;</t>
  </si>
  <si>
    <t>2. Залишкова вартість дооцінки проходить по Кт 411
якщо варант №2, то поставте цифру 2 в комірку І 57</t>
  </si>
  <si>
    <t xml:space="preserve">Витрати на оплату праці у таблиці  5.1 за статтями мають дорівнювати відповідним  даним у таблиці 7 </t>
  </si>
  <si>
    <t>Витрати на оплату праці у таблиці  5.1 за статтями мають дорівнювати відповідним  даним у таблиці 7</t>
  </si>
  <si>
    <t>Виробничі витрати на оплату праці у таблиці  5.1 із врахуванням витрат на виготовлення власної продукції мають дорівнювати цим даним у таблиці 8</t>
  </si>
  <si>
    <t>Таблиця 5.1. 
Виробничі витрати (903)+витрати на виготовлення власної продукції +нарахування на оплату праці</t>
  </si>
  <si>
    <t>48 Дт = 48СдП-48СдК+48 Кт
48 Кт = цільове фінансування (надходження) - 424 Кт + ЗБЦФ Заборгованість бюджету з цільового фінансування (Дт 37 ЗБЦФ Кт 48)   - ПЗБЦФ Погашення заборгованості бюджету з цільового фінансування (Дт 31 Кт 37 ПЗБЦФ) 
424 Кт = 424 СдК + АММ 745 (424)- передача ОЗ  -424 СдП  
УВАГА!!!І Якщо існують госп.операції з додатковим капиталом (крім землі),  заповніть  АММ 745(424) (Дт 424 Кт 745) в таблиці 4, р. 4.3.2. гр.5</t>
  </si>
  <si>
    <r>
      <t xml:space="preserve"> 48 Дт= 48СдП-48СдК+48 Кт 
</t>
    </r>
    <r>
      <rPr>
        <b/>
        <sz val="14"/>
        <color indexed="10"/>
        <rFont val="Times New Roman"/>
        <family val="1"/>
        <charset val="204"/>
      </rPr>
      <t>Значення не може бути від’ємним!</t>
    </r>
  </si>
  <si>
    <t>14а</t>
  </si>
  <si>
    <t>15а</t>
  </si>
  <si>
    <t>Якщо є оприбуткування та/або витрати за статтею "Кров та її компоненти", то мають бути заповнені відповідні дані у таблиці Кров та/або її компоненти (вкладка Звіт 7,8)</t>
  </si>
  <si>
    <r>
      <rPr>
        <b/>
        <sz val="14"/>
        <color indexed="8"/>
        <rFont val="Times New Roman"/>
        <family val="1"/>
        <charset val="204"/>
      </rPr>
      <t xml:space="preserve">1029. </t>
    </r>
    <r>
      <rPr>
        <sz val="14"/>
        <color indexed="8"/>
        <rFont val="Times New Roman"/>
        <family val="1"/>
        <charset val="204"/>
      </rPr>
      <t>Довгострокові фінансові інвестиції:</t>
    </r>
  </si>
  <si>
    <t xml:space="preserve">варіант дооцінки </t>
  </si>
  <si>
    <t>Придбання та оприбуткування, грн.</t>
  </si>
  <si>
    <t>Витрати, грн.</t>
  </si>
  <si>
    <t>Дози, одиниць</t>
  </si>
  <si>
    <t>Кров та/або її компоненти</t>
  </si>
  <si>
    <t>ПРАВДА</t>
  </si>
  <si>
    <t>Якщо непокритий збиток на початок періоду менше 300 тис. грн. - то ПОМИЛКА</t>
  </si>
  <si>
    <t>Нерозподілений прибуток (непокритий збиток)  СдК-СдП -Дт 411-передача, вибуття ОЗ) =  Доходи-Витрати</t>
  </si>
  <si>
    <t xml:space="preserve">Якщо на початок року є капітал у дооцінках, то має бути його амортизація Дт 411 (крім дооцінки землі)
Амортизація по дооціненому капіталу не може бути менше 0 
</t>
  </si>
  <si>
    <t>Знос ОЗ та ННМА (СдК-СдП -Дт13) = амортизації</t>
  </si>
  <si>
    <t xml:space="preserve">Сума надходжень ресурсного забезпечення (крім грошових коштів) (бюджети) може дорівнювати або бути більше на 20%, ніж сума відповідних оприбуткованих ТМЦ + КАПінвестиції (бюджети) </t>
  </si>
  <si>
    <t>Дохід від реалізації робіт та послуг,  всього &gt;= дохід від реалізації послуг (з додатка Доходи ПМГ)</t>
  </si>
  <si>
    <t>Запаси таблиця 2- якщо є дані у р. 2.1.5.1.(засоби індивідуального захисту) то мають бути у 2.1.5.(Інші матеріали, у тому числі )</t>
  </si>
  <si>
    <t>Перевірка 411, 424, 69 (ЦФ)
СдП та СдК у таблицях 10, 11 та Балансі
Дт та Кт у таблицях 10 та 11</t>
  </si>
  <si>
    <t>13 True</t>
  </si>
  <si>
    <t>2True</t>
  </si>
  <si>
    <t>4True</t>
  </si>
  <si>
    <t>Т10.1.4.</t>
  </si>
  <si>
    <t>Т11.2 гр.5 + Таблиця 10.1. р.10.1.4 гр.4</t>
  </si>
  <si>
    <t>Т10.1.2. +Т10.3.2 гр.15 (Дт цільові витрати Кт 13 безоплатно отримані)+ Таблиця 10.1. р.10.1.4 гр.4</t>
  </si>
  <si>
    <r>
      <t xml:space="preserve">Таблиця 10.1. Зміна джерела надходження з статутного капіталу на безоплатно отримані в частині НА та ОЗ  у періоді 
</t>
    </r>
    <r>
      <rPr>
        <sz val="18"/>
        <color indexed="10"/>
        <rFont val="Times New Roman"/>
        <family val="1"/>
        <charset val="204"/>
      </rPr>
      <t>-  заповнюється у разі наявності таких операцій</t>
    </r>
  </si>
  <si>
    <r>
      <t xml:space="preserve">верифікація даних щодо </t>
    </r>
    <r>
      <rPr>
        <b/>
        <sz val="16"/>
        <rFont val="Times New Roman"/>
        <family val="1"/>
        <charset val="204"/>
      </rPr>
      <t>незавершених капітальних інвестицій</t>
    </r>
  </si>
  <si>
    <r>
      <t>Якщо СдК  суми залишків капітальних інвестицій, що отримані з бюджету або як благодійна допомога з р.1525 Балансу = р. Т 10.2 гр.</t>
    </r>
    <r>
      <rPr>
        <sz val="16"/>
        <rFont val="Times New Roman"/>
        <family val="1"/>
        <charset val="204"/>
      </rPr>
      <t>21</t>
    </r>
    <r>
      <rPr>
        <sz val="16"/>
        <color indexed="8"/>
        <rFont val="Times New Roman"/>
        <family val="1"/>
        <charset val="204"/>
      </rPr>
      <t xml:space="preserve">  Капітальні інвестиції, отримані як ЦФ, то ПРАВДА</t>
    </r>
  </si>
  <si>
    <r>
      <t xml:space="preserve">Сальдо на кінець  звітного періоду ОСВ </t>
    </r>
    <r>
      <rPr>
        <sz val="16"/>
        <color indexed="10"/>
        <rFont val="Times New Roman"/>
        <family val="1"/>
        <charset val="204"/>
      </rPr>
      <t>(враховується Дт та Кт додаткового капіталу, які перенесені з статутного капіталу, таблиця 10.1)</t>
    </r>
  </si>
  <si>
    <r>
      <t>Таблиця 12. Передача, вибуття НА, ТМЦ та незавершених капітальних інвестицій, що отримані як цільове фінансування, безоплатно отримані</t>
    </r>
    <r>
      <rPr>
        <i/>
        <sz val="16"/>
        <rFont val="Times New Roman"/>
        <family val="1"/>
        <charset val="204"/>
      </rPr>
      <t>, гривень</t>
    </r>
  </si>
  <si>
    <r>
      <t xml:space="preserve">Всього по Дт 411 </t>
    </r>
    <r>
      <rPr>
        <i/>
        <sz val="16"/>
        <rFont val="Times New Roman"/>
        <family val="1"/>
        <charset val="204"/>
      </rPr>
      <t>(р.Т11.1 гр.5)</t>
    </r>
  </si>
  <si>
    <r>
      <t xml:space="preserve">передача, вибуття ОЗ, що були дооцінені  (Дт 411 Кт 441) </t>
    </r>
    <r>
      <rPr>
        <i/>
        <sz val="16"/>
        <color indexed="23"/>
        <rFont val="Times New Roman"/>
        <family val="1"/>
        <charset val="204"/>
      </rPr>
      <t>(таблиця 12, р. Т12.4)</t>
    </r>
  </si>
  <si>
    <r>
      <t>Сальдо напочаток звітного періоду (</t>
    </r>
    <r>
      <rPr>
        <u/>
        <sz val="16"/>
        <color indexed="8"/>
        <rFont val="Times New Roman"/>
        <family val="1"/>
        <charset val="204"/>
      </rPr>
      <t>таблиця 11</t>
    </r>
    <r>
      <rPr>
        <sz val="16"/>
        <color indexed="8"/>
        <rFont val="Times New Roman"/>
        <family val="1"/>
        <charset val="204"/>
      </rPr>
      <t>, гр.4)</t>
    </r>
  </si>
  <si>
    <r>
      <t>Дебет ОСВ
(</t>
    </r>
    <r>
      <rPr>
        <u/>
        <sz val="16"/>
        <color indexed="8"/>
        <rFont val="Times New Roman"/>
        <family val="1"/>
        <charset val="204"/>
      </rPr>
      <t>таблиця 11</t>
    </r>
    <r>
      <rPr>
        <sz val="16"/>
        <color indexed="8"/>
        <rFont val="Times New Roman"/>
        <family val="1"/>
        <charset val="204"/>
      </rPr>
      <t>, гр.5)</t>
    </r>
  </si>
  <si>
    <r>
      <t>Кредит ОСВ (</t>
    </r>
    <r>
      <rPr>
        <u/>
        <sz val="16"/>
        <color indexed="8"/>
        <rFont val="Times New Roman"/>
        <family val="1"/>
        <charset val="204"/>
      </rPr>
      <t>таблиця 11</t>
    </r>
    <r>
      <rPr>
        <sz val="16"/>
        <color indexed="8"/>
        <rFont val="Times New Roman"/>
        <family val="1"/>
        <charset val="204"/>
      </rPr>
      <t xml:space="preserve"> гр.6)</t>
    </r>
  </si>
  <si>
    <r>
      <t>Сальдо на кінець звітного періоду
(</t>
    </r>
    <r>
      <rPr>
        <u/>
        <sz val="16"/>
        <color indexed="8"/>
        <rFont val="Times New Roman"/>
        <family val="1"/>
        <charset val="204"/>
      </rPr>
      <t>таблиця 11</t>
    </r>
    <r>
      <rPr>
        <sz val="16"/>
        <color indexed="8"/>
        <rFont val="Times New Roman"/>
        <family val="1"/>
        <charset val="204"/>
      </rPr>
      <t>, гр.8)</t>
    </r>
  </si>
  <si>
    <r>
      <t>Первісна вартість дооцінки</t>
    </r>
    <r>
      <rPr>
        <sz val="16"/>
        <color indexed="8"/>
        <rFont val="Times New Roman"/>
        <family val="1"/>
        <charset val="204"/>
      </rPr>
      <t xml:space="preserve">
р.Т10.1.3.1.+ р.Т10.3.3.1. гр.9</t>
    </r>
  </si>
  <si>
    <t>ДООЦІНКА  ЗНОСУ в періоді 
варіант 1 (Дт 411 Кт 13)
варіант 2 (Дт 10 Кт 13)*</t>
  </si>
  <si>
    <t>амортизація дооцінки (одночасно: Дт витратних рахунків Кт 13, Дт 411 Кт 441)  (р.Т10.3.3.2 + р. Т10.1.3.2. гр.14- Т13.2)</t>
  </si>
  <si>
    <t>НЕОБХІДНО ЗАПОВНИТИ!</t>
  </si>
  <si>
    <t>Якщо у Балансі є статутний капітал (відповідно до статуту складається з НА), то у таблиці 10  має бути первісна вартість ННМА та ОЗ в графі "статутний капітал"</t>
  </si>
  <si>
    <t>Мають бути відсутні дані у Балансі р. 1035 Довгострокові інші фінансові інвестиції. Тут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t>
  </si>
  <si>
    <t>Цільовий інший операційний дохід (71 ЦФ) р. 4.2.1., гр. 5  таблиця 4 = розрахованому за формулою 71ЦФ=цільові витрати таблиця 5.1.р.1.1.гр.14</t>
  </si>
  <si>
    <t xml:space="preserve">
Запаси, що отримані з бюджету або як благодійна допомога (СдП+придбання ТМЦ-витрати ТМЦ=СдК) 
</t>
  </si>
  <si>
    <t>1.2.1.</t>
  </si>
  <si>
    <t>1.2.2.</t>
  </si>
  <si>
    <t>1.2.3.</t>
  </si>
  <si>
    <t xml:space="preserve">1.4. </t>
  </si>
  <si>
    <t>ЗВІТ ПРО ДОХОДИ ТА ВИТРАТИ за 1 квартал  2021 року</t>
  </si>
  <si>
    <t xml:space="preserve">щокварталу до останнього дня місяця, наступного за звітним періодом </t>
  </si>
  <si>
    <t>Витрати періоду</t>
  </si>
  <si>
    <t>2. Рух грошових коштів</t>
  </si>
  <si>
    <t>ЗВІТ ПРО ДОХОДИ ТА ВИТРАТИ за 1 квартал 2021 року</t>
  </si>
  <si>
    <t>5</t>
  </si>
  <si>
    <t>6</t>
  </si>
  <si>
    <t>7</t>
  </si>
  <si>
    <t>Грошові кошти та поточні фінансові інвестиції на початок року</t>
  </si>
  <si>
    <t>Рух запасів</t>
  </si>
  <si>
    <t>Показники</t>
  </si>
  <si>
    <t>Увага! Не може бути малий відсоток</t>
  </si>
  <si>
    <r>
      <t xml:space="preserve">Середньомісячні витрати на оплату праці, грн.
</t>
    </r>
    <r>
      <rPr>
        <b/>
        <i/>
        <sz val="16"/>
        <color indexed="10"/>
        <rFont val="Times New Roman"/>
        <family val="1"/>
        <charset val="204"/>
      </rPr>
      <t xml:space="preserve">Увага! </t>
    </r>
  </si>
  <si>
    <t>Використання запасів у середньому у місяць (3 міс)</t>
  </si>
  <si>
    <r>
      <t xml:space="preserve">штатних у % до всього 
</t>
    </r>
    <r>
      <rPr>
        <b/>
        <i/>
        <sz val="16"/>
        <color indexed="10"/>
        <rFont val="Times New Roman"/>
        <family val="1"/>
        <charset val="204"/>
      </rPr>
      <t>Увага! Не може бути низький відсоток</t>
    </r>
  </si>
  <si>
    <t>перевірка</t>
  </si>
  <si>
    <t>Інший операційний дохід від надання майна в оренду</t>
  </si>
  <si>
    <t>Таблиця 1
надходження  грошових коштів (благодійна допомога)</t>
  </si>
  <si>
    <t>Таблиці 2, 3
сума відповідні придбання ТМЦ + КАПінвестиції (благодійна допомога)</t>
  </si>
  <si>
    <t xml:space="preserve">Сума цільових надходжень (грошові кошти) всього  &gt;= відповідні придбання ТМЦ + КАПінвестиції </t>
  </si>
  <si>
    <t>перевірка даних таблиць на від’ємні значення</t>
  </si>
  <si>
    <t xml:space="preserve">Сума цільових надходжень у натуральній формі  може дорівнювати або бути більше на 20%, ніж сума відповідних оприбуткованих ТМЦ + КАПінвестиції 
Сума надходжень благодійної допомоги у натуральній формі може дорівнювати або бути більше на 20%, ніж сума  відповідних оприбуткованих ТМЦ + КАПінвестиції + дохід від безоплатно наданої послуги </t>
  </si>
  <si>
    <t>співвідношення надходжень до відповідних придбань</t>
  </si>
  <si>
    <r>
      <rPr>
        <sz val="14"/>
        <rFont val="Times New Roman"/>
        <family val="1"/>
        <charset val="204"/>
      </rPr>
      <t xml:space="preserve">1. Цільовий інший операційний дохід (71 ЦФ) р. 4.2.1., гр. 5  таблиця 4 = розрахованому за формулою 71ЦФ=цільові витрати таблиця 5.1.р.1.1.гр.14
</t>
    </r>
    <r>
      <rPr>
        <b/>
        <sz val="14"/>
        <rFont val="Times New Roman"/>
        <family val="1"/>
        <charset val="204"/>
      </rPr>
      <t xml:space="preserve">71 ЦФ  = 48 Дт - 69 Кт - Т12.1 передача ТМЦ   - Т12.1 А передача КАП - ПЦФБ Повернення цільового фінансування у бюджет (Д48 Кт31 ПЦФБ) 
</t>
    </r>
    <r>
      <rPr>
        <sz val="14"/>
        <rFont val="Times New Roman"/>
        <family val="1"/>
        <charset val="204"/>
      </rPr>
      <t xml:space="preserve">2. Передача ТМЦ, що придбані (отримані) за кошти цільового фінансування (Дт 48 Кт 377) </t>
    </r>
    <r>
      <rPr>
        <sz val="14"/>
        <color indexed="8"/>
        <rFont val="Times New Roman"/>
        <family val="1"/>
        <charset val="204"/>
      </rPr>
      <t xml:space="preserve">
</t>
    </r>
    <r>
      <rPr>
        <sz val="14"/>
        <color indexed="10"/>
        <rFont val="Times New Roman"/>
        <family val="1"/>
        <charset val="204"/>
      </rPr>
      <t>значення не може бути від’ємним!</t>
    </r>
  </si>
  <si>
    <t xml:space="preserve">71 ЦФ
Розрахований за бухгалтерською формулою
71 ЦФ  = 48 Дт - 69 Кт - Т12.1 передача ТМЦ   - Т12.1 А передача КАП  -ПЦФБ
  </t>
  </si>
  <si>
    <t>р. 1125 Балансу, всього СдП</t>
  </si>
  <si>
    <t>р. 1125 Балансу, всього СдК</t>
  </si>
  <si>
    <t>у тому числі ПМГ</t>
  </si>
  <si>
    <t>р. 11155 Балансу, всього СдП</t>
  </si>
  <si>
    <t>р. 1155 Балансу, всього СдК</t>
  </si>
  <si>
    <t>сума  рядків «розрахунки з держaвними цільовими фондами»; «заборгованість бюджету з цільового фінансування (Дт 37 ЗБЦФ Кт 48) »; «заборгованість бюджету  для компенсації витрат (збитків)  (Дт 37 ЗБКВ Кт 719) (п.19 ПСБО 15) (ЗБКВ)»</t>
  </si>
  <si>
    <t>2. Верифікація даних СдП та СдК таблиці 10 щодо нематеріальних активів з відповідними даними Балансу</t>
  </si>
  <si>
    <t>Якщо СдК  суми залишків капітальних інвестицій, що отримані з бюджету або як благодійна допомога з р.1525 Балансу = р. Т 10.2 гр.21  Капітальні інвестиції, отримані як ЦФ, то ПРАВДА</t>
  </si>
  <si>
    <t>Якщо СдП  суми залишків капітальних інвестицій  р.1005 Балансу = р. Т 10.2 гр.4  Капітальні інвестиції, то ПРАВДА</t>
  </si>
  <si>
    <t>Якщо СдК  суми залишків капітальних інвестицій  р.1005 Балансу = р. Т 10.2 гр.19  Капітальні інвестиції, то ПРАВДА</t>
  </si>
  <si>
    <t>Баланс
цільове фінансування інше</t>
  </si>
  <si>
    <t>Стоматологічна допомога дорослим та дітям</t>
  </si>
  <si>
    <t>Ведення вагітності в амбулаторних умовах</t>
  </si>
  <si>
    <r>
      <t xml:space="preserve">Вакцинація від гострої респіраторної хвороби </t>
    </r>
    <r>
      <rPr>
        <sz val="14"/>
        <color indexed="8"/>
        <rFont val="Times New Roman"/>
        <family val="1"/>
        <charset val="204"/>
      </rPr>
      <t>COVID-19, спричиненої короновірусом SARS-CoV-2</t>
    </r>
  </si>
  <si>
    <t xml:space="preserve">Лікування та супровід пацієнтів з гематологічними та онкогематологічними захворюваннями у дорослих та дітей в амбулаторних та стаціонарних умовах </t>
  </si>
  <si>
    <t xml:space="preserve">Супровід та лікування дорослих та дітей, хворих на туберкульоз, на первинному рівні медичної допомоги </t>
  </si>
  <si>
    <r>
      <t xml:space="preserve">Лікування пацієнтів методом перитонеального діалізу в амбулаторних умовах  </t>
    </r>
    <r>
      <rPr>
        <b/>
        <sz val="12"/>
        <color indexed="8"/>
        <rFont val="Calibri"/>
        <family val="2"/>
        <charset val="204"/>
      </rPr>
      <t/>
    </r>
  </si>
  <si>
    <t xml:space="preserve">Психіатрична допомога, яка надається мобільними мультидисциплінарними командами з охорони психічного здоров’я </t>
  </si>
  <si>
    <t xml:space="preserve">Готовність до реагування на інфекційні захворювання та епідемії </t>
  </si>
  <si>
    <t>№9</t>
  </si>
  <si>
    <t>№10</t>
  </si>
  <si>
    <t>10.</t>
  </si>
  <si>
    <t>21а</t>
  </si>
  <si>
    <t>6True</t>
  </si>
  <si>
    <t>Співвідношення надходжень (таблиця 1) та відповідних доходів (таблиця 4)</t>
  </si>
  <si>
    <t>Дохід за програмою медичних гарантій (з додатка Доходи ПМГ)</t>
  </si>
  <si>
    <t>Таблиця 4
Дохід від надання медичних та немедичних послуг за кошти фізичних і юридичних осіб та страхових виплат</t>
  </si>
  <si>
    <t>Таблиця 1
Надходження від надання медичних та немедичних послуг за кошти фізичних і юридичних осіб та страхових виплат</t>
  </si>
  <si>
    <t>р. 1635 Балансу, всього СдП</t>
  </si>
  <si>
    <t>р. 1635 Балансу, всього СдК</t>
  </si>
  <si>
    <t xml:space="preserve">Таблиця 4
Роботи та послуги  мінус дохід за програмою медичних гарантій </t>
  </si>
  <si>
    <t>Таблиця 4, р. 4.1.3.1 гр.5 (з додатку Доходи ПМГ р.1 гр.5)</t>
  </si>
  <si>
    <t>Таблиця 4, р. 4.1. гр.5
Дохід від реалізації</t>
  </si>
  <si>
    <t xml:space="preserve">Таблиця 1
Надходження ПМГ </t>
  </si>
  <si>
    <t>Таблиця 9
681СдП  Аванси ПМГ</t>
  </si>
  <si>
    <t xml:space="preserve">Таблиця 4
Вирахування з доходу  мінус повернення залишку коштів по 33 пакету </t>
  </si>
  <si>
    <r>
      <t xml:space="preserve">Таблиця 13
Корегування прибутку з дооцінки (Дт 411 </t>
    </r>
    <r>
      <rPr>
        <b/>
        <sz val="14"/>
        <rFont val="Times New Roman"/>
        <family val="1"/>
        <charset val="204"/>
      </rPr>
      <t>Кт 441</t>
    </r>
    <r>
      <rPr>
        <sz val="14"/>
        <rFont val="Times New Roman"/>
        <family val="1"/>
        <charset val="204"/>
      </rPr>
      <t>)</t>
    </r>
  </si>
  <si>
    <r>
      <rPr>
        <b/>
        <sz val="14"/>
        <rFont val="Times New Roman"/>
        <family val="1"/>
        <charset val="204"/>
      </rPr>
      <t>Покриття витрат без амортизації
Доходи</t>
    </r>
    <r>
      <rPr>
        <sz val="14"/>
        <rFont val="Times New Roman"/>
        <family val="1"/>
        <charset val="204"/>
      </rPr>
      <t xml:space="preserve"> без доходів від амортизації з авансами ПМГ - </t>
    </r>
    <r>
      <rPr>
        <b/>
        <sz val="14"/>
        <rFont val="Times New Roman"/>
        <family val="1"/>
        <charset val="204"/>
      </rPr>
      <t>витрати</t>
    </r>
    <r>
      <rPr>
        <sz val="14"/>
        <rFont val="Times New Roman"/>
        <family val="1"/>
        <charset val="204"/>
      </rPr>
      <t xml:space="preserve"> (таблиця 5 виробнича собівартість готової продукції та товарів + витрати таблиця 5.1. без амортизації) &gt;= 0  </t>
    </r>
  </si>
  <si>
    <r>
      <rPr>
        <b/>
        <sz val="14"/>
        <rFont val="Times New Roman"/>
        <family val="1"/>
        <charset val="204"/>
      </rPr>
      <t xml:space="preserve">Покриття витрат з амортизацією
</t>
    </r>
    <r>
      <rPr>
        <sz val="14"/>
        <rFont val="Times New Roman"/>
        <family val="1"/>
        <charset val="204"/>
      </rPr>
      <t xml:space="preserve">
Доходи +  аванси ПМГ + коригування прибутку з дооцінки  - витрати (таблиця 5 виробнича собівартість готової продукції та товарів + витрати таблиця 5.1. з амортизацією)) &gt;= 0  </t>
    </r>
  </si>
  <si>
    <t>Цільове фінансування інше СдП</t>
  </si>
  <si>
    <t>Цільове фінансування інше СдК</t>
  </si>
  <si>
    <t>р. 1130 Балансу,  СдП
Дебіторська заборгованість за виданими авансами</t>
  </si>
  <si>
    <t>р. 1130 Балансу,  СдК
Дебіторська заборгованість за виданими авансами</t>
  </si>
  <si>
    <t>р. 1135 Балансу,  СдП
Гроші та їх еквіваленти</t>
  </si>
  <si>
    <t>р. 1135 Балансу,  СдК
Гроші та їх еквіваленти</t>
  </si>
  <si>
    <t>р. 1135 Балансу  Додатковий капітал інше
СдП+Сдк</t>
  </si>
  <si>
    <t xml:space="preserve">р. 1660 Балансу, СдП
Поточні забезпечення </t>
  </si>
  <si>
    <t xml:space="preserve">р. 1660 Балансу, СдК
Поточні забезпечення </t>
  </si>
  <si>
    <t>Дані р. "Цільове фінансування інше" Балансу мають бути менше або рівними сумі залишку грошових коштів та авансів</t>
  </si>
  <si>
    <t>Дані р. "Додатковий капітал інше" Балансу мають дорівнювати 0</t>
  </si>
  <si>
    <t xml:space="preserve"> Дані р. 1665 Балансу "Доходи майбутніх періодів (всього)" не можуть бути меншими, ніж залишкова вартість НА, ОЗ що  придбані за кошти цільового фінансування</t>
  </si>
  <si>
    <t>Дані р. 1525 Балансу "Цільове фінансування (всього)" не можуть бути меншими, ніж сума відповідних рядків із запасами та капітальними інвестиціями;</t>
  </si>
  <si>
    <t>Таблиця 8 Витрати на оплату праці на місяць (ВОП)</t>
  </si>
  <si>
    <t>дохід  для покриття витрат (збитків) за рахунок бюджету  (Дт 37 ЗБКВ Кт 719) (п.19 ПСБО 15)</t>
  </si>
  <si>
    <t xml:space="preserve"> (відповідне надходження  з урахуванням 36 та 381) /1,2 &lt;= дохід  &lt;= відповідне надходження з урахуванням 36 та 381</t>
  </si>
  <si>
    <t>відхилення надходження на 2 міс. - СдП</t>
  </si>
  <si>
    <t>відхилення ВОП - СдП</t>
  </si>
  <si>
    <t>Таблиця 1, гр.5
Надходження ПМГ</t>
  </si>
  <si>
    <t xml:space="preserve">Таблиці 2, 3, 4
сума відповідні придбання ТМЦ + КАПінвестиції + дохід від безоплатно наданої послуги </t>
  </si>
  <si>
    <t>Баланс, СдП рядок "заборгованість бюджету з цільового фінансування (Дт 37 ЗБЦФ Кт 48)"</t>
  </si>
  <si>
    <t>Таблиця 1, гр.14
Погашення заборгованості бюджету з цільового фінансування</t>
  </si>
  <si>
    <t>Дані р. "доходи майбутніх періодів інше" Балансу  не  більше двох  місячних сум  від надання майна в оренду  (якщо Договор містить предоплати за останні місяці)</t>
  </si>
  <si>
    <t>Дані р. 1660 "Поточні забезпечення" Балансу не більше витрат на оплату праці в місяць</t>
  </si>
  <si>
    <t>р. 1170  Балансу «Витрати майбутніх періодів», СдП</t>
  </si>
  <si>
    <t>р. 1170  Балансу «Витрати майбутніх періодів», СдК</t>
  </si>
  <si>
    <t xml:space="preserve"> Дані р. 1125 Балансу «Дебіторська заборгованість за продукцію, товари, роботи, послуги» не можуть бути меншими, ніж у рядку «тому числі за ПМГ»;</t>
  </si>
  <si>
    <t>Дані р.  1155 Балансу «Інша поточна дебіторська заборгованість, всього, у  тому числі» не можуть бути меншими, ніж сума  рядків «розрахунки з держaвними цільовими фондами»; «заборгованість бюджету з цільового фінансування (Дт 37 ЗБЦФ Кт 48)»; «заборгованість бюджету  для компенсації витрат (збитків)  (Дт 37 ЗБКВ Кт 719) (п.19 ПСБО 15) (ЗБКВ)»;</t>
  </si>
  <si>
    <t>Таблиця 1 , надходження, всього, млн. грн.</t>
  </si>
  <si>
    <t xml:space="preserve">Валідація даних р. 1170  Балансу «Витрати майбутніх періодів» </t>
  </si>
  <si>
    <r>
      <rPr>
        <b/>
        <sz val="14"/>
        <color indexed="56"/>
        <rFont val="Times New Roman"/>
        <family val="1"/>
        <charset val="204"/>
      </rPr>
      <t>Формула для перевірки платних послуг</t>
    </r>
    <r>
      <rPr>
        <sz val="14"/>
        <color indexed="56"/>
        <rFont val="Times New Roman"/>
        <family val="1"/>
        <charset val="204"/>
      </rPr>
      <t xml:space="preserve">
Надходження 311 -681СдК+36СдК-36СдП-681СдП)</t>
    </r>
  </si>
  <si>
    <t xml:space="preserve">Таблиця 13, р. Т13.2.
амортизація дооцінки (одночасно: Дт витратних рахунків Кт 13, Дт 411 Кт 441)  </t>
  </si>
  <si>
    <t>Таблиця 10, р. Т10.3.3.1. гр. 9
первісна вартість дооцінки Дт</t>
  </si>
  <si>
    <t xml:space="preserve">Таблиця 13, р. Т13.1.
ДООЦІНКА  ЗНОСУ в періоді </t>
  </si>
  <si>
    <t>Таблиця 10, р. Т10.3.3.2. гр.14
рух по 13 рахунку щодо дооцінки Кт</t>
  </si>
  <si>
    <t>Якщо є первісна вартість дооцінки (крім землі), то має бути дооцінка зносу і амортизація дооцінки</t>
  </si>
  <si>
    <t>Таблиця 11, р. Т11.1а, гр.5 Земля в дооцінках, Дт</t>
  </si>
  <si>
    <t>Таблиця 10 СдК, якщо дані &gt;= 0, то ПРАВДА</t>
  </si>
  <si>
    <t>з урахуванням коригування</t>
  </si>
  <si>
    <t xml:space="preserve">Таблиця 1 Надходження від надання майна в оренду </t>
  </si>
  <si>
    <t xml:space="preserve">На початок звітного періоду </t>
  </si>
  <si>
    <t xml:space="preserve">На кінець звітного періоду </t>
  </si>
  <si>
    <t>Необоротні активи, усього, у тому числі:</t>
  </si>
  <si>
    <t xml:space="preserve">первісна вартість </t>
  </si>
  <si>
    <t>знос (-)</t>
  </si>
  <si>
    <t xml:space="preserve">Оборотні активи, усього, у тому числі </t>
  </si>
  <si>
    <t>запаси</t>
  </si>
  <si>
    <t>поточні фінансові інвестиції (депозити)</t>
  </si>
  <si>
    <t xml:space="preserve">гроші та їх еквіваленти </t>
  </si>
  <si>
    <t>Усього активи</t>
  </si>
  <si>
    <t xml:space="preserve">Власний капітал, у тому числі </t>
  </si>
  <si>
    <t>Додатковий капітал</t>
  </si>
  <si>
    <t>Довгострокові зобов’язання і забезпечення, у тому числі</t>
  </si>
  <si>
    <t>цільове фінансування</t>
  </si>
  <si>
    <t>Поточні зобов’язання і забезпечення, у тому числі</t>
  </si>
  <si>
    <t>Усього пасиви</t>
  </si>
  <si>
    <t>співвідношення штатних працівників до загальної кількості не менше 80%</t>
  </si>
  <si>
    <t>таблиця 8
Має бути заповнена  гр. 12 таблиці про кількість відпрацьованих людино-годин
Cпіввідношення штатних працівників до загальної кількості не менше 80%</t>
  </si>
  <si>
    <t xml:space="preserve"> Таблиця 8 гр. 12 таблиці "Кількість відпрацьованих людино-годин**" </t>
  </si>
  <si>
    <t xml:space="preserve">Цільове фінансування в частині залишків запасів та незавершених капітальних інвестицій 
1. Відповідні дані Пасиву Балансу дорівнюють сумі залишків запасів  та незавершених капітальних інвестицій, отриманих як ЦФ у таблиці 10;
2. Перевірка Дт незавершених капітальних інвестицій, отримані як цільове фінансування у таблиці 10 із відповідними даними у таблиці 3;
3. Перевірка даних СдП та СдК таблиці 10 щодо незавершених капітальних інвестицій  з відповідними даними Балансу.
</t>
  </si>
  <si>
    <r>
      <t xml:space="preserve">1. Сума залишкової вартості (капітал у дооцінках +  додатковий капітал   + доходи майбутніх періодів(ОЗ та ННМА) дорівнюють сумі залишкової вартості нематеріальних активів + основні засоби на початок періоду, отримані безоплатно або як цільове фінансування (424 + 69); 
2. Перевірка даних СдП та СдК таблиці 10 щодо нематеріальних активів з відповідними даними Балансу;
3. Перевірка даних СдП та СдК таблиці 10 щодо основних засобів  з відповідними даними Балансу;
</t>
    </r>
    <r>
      <rPr>
        <sz val="14"/>
        <color indexed="56"/>
        <rFont val="Times New Roman"/>
        <family val="1"/>
        <charset val="204"/>
      </rPr>
      <t>4. Якщо є первісна вартість дооцінки, то має бути дооцінка зносу і амортизація дооцінки.</t>
    </r>
  </si>
  <si>
    <t>р. 1420 СдК Нерозподілений прибуток</t>
  </si>
  <si>
    <t>Баланс Пасив СдК
сума рядків 1600, 1610, 1615, 1620, 1625, 1630, 1635, 1660, доходи майбутніх періодів інше, цільове фінансування інше, 1691</t>
  </si>
  <si>
    <t>16True</t>
  </si>
  <si>
    <t>13True, 1 Увага</t>
  </si>
  <si>
    <t>р. 1420 СдП Нерозподілений прибуток</t>
  </si>
  <si>
    <t>Баланс Пасив СдП
сума рядків 1600, 1610, 1615, 1620, 1625, 1630, 1635, 1660, доходи майбутніх періодів інше, цільове фінансування інше, 1691</t>
  </si>
  <si>
    <t>у тому числі аванси за медичні та немедичні послуги за кошти фізичних і юридичних осіб, за страховими виплатами</t>
  </si>
  <si>
    <t>мінус Баланс 
36СдП 
 Дебіторська заборгованість за медичні та немедичні послуги за кошти фізичних і юридичних осіб, за страхові виплати</t>
  </si>
  <si>
    <t>плюс  Баланс 
36СдК 
Дебіторська заборгованість за медичні та немедичні послуги за кошти фізичних і юридичних осіб, за страхові виплати</t>
  </si>
  <si>
    <t>плюс  Баланс 
681СдП 
Поточна кредиторська заборгованість за отриманими авансами за медичні та немедичні послуги за кошти фізичних і юридичних осіб, за страховими виплатами</t>
  </si>
  <si>
    <t>мінус  Баланс 
681СдК 
Поточна кредиторська заборгованість за отриманими авансами за медичні та немедичні послуги за кошти фізичних і юридичних осіб, за страховими виплатами</t>
  </si>
  <si>
    <t>Дані р. 1635 Балансу "Поточна кредиторська заборгованість за отриманими авансами, всього" не можуть бути меншими, ніж "у тому числі аванси за ПМГ" та "у тому числі аванси за медичні та немедичні послуги за кошти фізичних і юридичних осіб, за страховими виплатами"</t>
  </si>
  <si>
    <t>Таблиця 10, гр. 8 рядки Т10.1, Т10.2, Т10.3, Т10.4</t>
  </si>
  <si>
    <t>Таблиця 10, сума гр. 23 рядки Т10.1, Т10.2, Т10.3, Т10.4  мінус гр.17 р. Т 10.3.2.</t>
  </si>
  <si>
    <t>Інші надходження</t>
  </si>
  <si>
    <t xml:space="preserve">з гр. 5  у тому числі </t>
  </si>
  <si>
    <t>компенсації за комунальні платежі від орендаря</t>
  </si>
  <si>
    <t>надходження відсотків банку від депозиту</t>
  </si>
  <si>
    <t>нецільова благодійна допомога від юридичних осіб</t>
  </si>
  <si>
    <t>нецільова благодійна допомога від фізичних осіб</t>
  </si>
  <si>
    <t>надходження лікарняних від ФСС</t>
  </si>
  <si>
    <t>Норма тривалості робочого часу на 2021 рік, лист  Міністерства розвитку економіки, торгівлі та сільського господарства України  від 12.08.2020 р. №3501/06/219 при 40-годинному робочому тижні</t>
  </si>
  <si>
    <t>1 кв.</t>
  </si>
  <si>
    <t>Середньомісячні витрати на оплату праці, грн.</t>
  </si>
  <si>
    <t>10.1 з гр.10 від юридичних осіб</t>
  </si>
  <si>
    <t>10.2  з гр.10 від фізичних осіб</t>
  </si>
  <si>
    <r>
      <t xml:space="preserve">Розрахунок на два місяці
</t>
    </r>
    <r>
      <rPr>
        <i/>
        <sz val="14"/>
        <color indexed="56"/>
        <rFont val="Times New Roman"/>
        <family val="1"/>
        <charset val="204"/>
      </rPr>
      <t>надходження за 1 кв./3 х 2</t>
    </r>
  </si>
  <si>
    <t>відхилення ВОП на місяць /12 х 3  - СдК</t>
  </si>
  <si>
    <t xml:space="preserve">Дані р. 1690 "Інші поточні зобов’язання" не може містити суттєвих сум </t>
  </si>
  <si>
    <t>Дані р. 1090  Балансу «Інші необоротні активи"мають дорівнювати 0</t>
  </si>
  <si>
    <t>р. 1090 Балансу  
СдП+Сдк</t>
  </si>
  <si>
    <t xml:space="preserve">р. доходи майбутніх періодів інше Балансу, СдП
</t>
  </si>
  <si>
    <t xml:space="preserve">р. доходи майбутніх періодів інше Балансу, СдК
</t>
  </si>
  <si>
    <t>ВОП розрахунково
ВОП на місяць + ВОП на місяць/12*3</t>
  </si>
  <si>
    <t xml:space="preserve">р.1690 Балансу, СдП
</t>
  </si>
  <si>
    <t xml:space="preserve">р.1690 Балансу, СдК
</t>
  </si>
  <si>
    <t xml:space="preserve"> Дані р. 1190  Балансу  «Інші оборотні активи" не може містити суттєвих сум </t>
  </si>
  <si>
    <t>р. 1190  Балансу  «Інші оборотні активи"  СдП</t>
  </si>
  <si>
    <t>р. 1190  Балансу  «Інші оборотні активи"  СдК</t>
  </si>
  <si>
    <r>
      <t xml:space="preserve">1. Дохід від реалізації робіт та послуг,  всього &gt;= дохід від реалізації послуг (з додатка Доходи ПМГ)
2. </t>
    </r>
    <r>
      <rPr>
        <sz val="14"/>
        <color indexed="56"/>
        <rFont val="Times New Roman"/>
        <family val="1"/>
        <charset val="204"/>
      </rPr>
      <t>Якщо є дохід від реалізації готової продукції або товарів, то має бути відповідно виробнича собівартість готової продукції  або товарів</t>
    </r>
    <r>
      <rPr>
        <sz val="14"/>
        <color indexed="10"/>
        <rFont val="Times New Roman"/>
        <family val="1"/>
        <charset val="204"/>
      </rPr>
      <t xml:space="preserve">
</t>
    </r>
  </si>
  <si>
    <t xml:space="preserve">Валідація іншого операційного доходу </t>
  </si>
  <si>
    <t>Таблиця 4, р. 4.3.3. гр.5
Інший неопераційний дохід</t>
  </si>
  <si>
    <t>Якщо у році зменшено статутний та неоплачений капітал, то має бути заповнена таблиця 10.1.</t>
  </si>
  <si>
    <t>Таблиця 10 
залишкова вартість ОЗ, отриманих як статутний капітал
СдП</t>
  </si>
  <si>
    <t>Таблиця 10 
залишкова вартість ОЗ, отриманих як статутний капітал
СдК</t>
  </si>
  <si>
    <t>Баланс
Статутний капітал + неоплачений капітал 
СдП</t>
  </si>
  <si>
    <t>Баланс
Статутний капітал + неоплачений капітал 
СдК</t>
  </si>
  <si>
    <t>відхилення статутний капітал - залишкова вартість ОЗ
СдП</t>
  </si>
  <si>
    <t>відхилення статутний капітал - залишкова вартість ОЗ
СдК</t>
  </si>
  <si>
    <t>Обсяг статутний капітал + неоплачений капітал має бути не менше, ніж залишкова вартість ОЗ, отриманих як статутний капітал</t>
  </si>
  <si>
    <t>відхилення
інший неопераційний дохід мінус надходження відсотків банку від депозиту</t>
  </si>
  <si>
    <t>Таблиця 1
Нецільова благодійна допомога</t>
  </si>
  <si>
    <t>Таблиця 5.1 
Неопераційні витрати</t>
  </si>
  <si>
    <t xml:space="preserve">відхилення
інший неопераційний дохід мінус неопераційні витрати (97) </t>
  </si>
  <si>
    <t>Валідація іншого неопераційного доходу</t>
  </si>
  <si>
    <t>Роботи та послуги (таблиця 4) мають бути рівними або більше, ніж дохід за програмою медичних гарантій</t>
  </si>
  <si>
    <t>Дохід за програмою медичних гарантій  &gt; 0</t>
  </si>
  <si>
    <r>
      <t xml:space="preserve">1. Дохід за програмою медичних гарантій  &gt; 0
</t>
    </r>
    <r>
      <rPr>
        <sz val="14"/>
        <color indexed="56"/>
        <rFont val="Times New Roman"/>
        <family val="1"/>
        <charset val="204"/>
      </rPr>
      <t xml:space="preserve">2. Роботи та послуги (таблиця 4) мають бути рівними або більше, ніж дохід за програмою медичних гарантій;
3. Вирахування з доходу має бути не більше, ніж повернення залишку коштів по 33 пакету (33 пакет - комірка заблокована);
4. Валідація іншого неопераційного та операційного доходів
</t>
    </r>
  </si>
  <si>
    <t>Вирахування з доходу має бути не більше, ніж повернення залишку коштів по 33 пакету</t>
  </si>
  <si>
    <t>Валідація іншого операційного доходу</t>
  </si>
  <si>
    <t>Співвідношення ІОД до доходу від реалізації, %</t>
  </si>
  <si>
    <t>Таблиця 1
Надходження від надання майна в оренду та компенсаціій за комунальні платежі від орендаря</t>
  </si>
  <si>
    <t>Таблиця 4
Дохід від надання майна в оренду та компенсаціій за комунальні платежі від орендаря</t>
  </si>
  <si>
    <t xml:space="preserve">відповідний дохід x 0,6 &lt;= відповідне надходження  &lt;= відповідний дохід x 1,2 </t>
  </si>
  <si>
    <t>Дохід х 1,2</t>
  </si>
  <si>
    <t>Дохід х 0,6</t>
  </si>
  <si>
    <t>СдК
Розрахунково нерозподілений прибуток</t>
  </si>
  <si>
    <t>СдП
Розрахунково нерозподілений прибуток</t>
  </si>
  <si>
    <r>
      <t xml:space="preserve">Вілідація  411, 424, 69 (ЦФ)
СдП та СдК у таблицях 10, 11 та Балансі
Дт та Кт у таблицях 10 та 11
Якщо у Балансі є статутний капітал (відповідно до статуту складається з НА), то у таблиці 10  має бути первісна вартість ННМА та ОЗ в графі "статутний капітал"
Залишкова вартість ННМА та ОЗ не може бути менше нуля
</t>
    </r>
    <r>
      <rPr>
        <sz val="14"/>
        <color indexed="56"/>
        <rFont val="Times New Roman"/>
        <family val="1"/>
        <charset val="204"/>
      </rPr>
      <t>Якщо у році зменшено статутний та неоплачений капітал, то має бути заповнена таблиця 10.1.</t>
    </r>
  </si>
  <si>
    <t>результат верифікації СдП та СдК у таблицях 10, 11 та Балансі</t>
  </si>
  <si>
    <t>Таблиця 10.1.
Нематеріальні активи (ННМА)</t>
  </si>
  <si>
    <t>Таблиця 10.1.
Основні засоби</t>
  </si>
  <si>
    <t>Зміна СТ</t>
  </si>
  <si>
    <t>Варість НА як СК без дооцінки</t>
  </si>
  <si>
    <t>703 ПМГ (Дохід ПМГ)</t>
  </si>
  <si>
    <t>Баланс Актив СдП
сума рядків 1125, 1130, 1155 , 1160, 1165, 1170 ,1190</t>
  </si>
  <si>
    <t>Баланс Актив СдК
сума рядків 1125, 1130, 1155 , 1160, 1165, 1170, 1190</t>
  </si>
  <si>
    <t>у тому числі за медичні та немедичні послуги за кошти фізичних і юридичних осіб, за страхові виплати</t>
  </si>
  <si>
    <t>Валідація по сумі доходів майбутніх періодів</t>
  </si>
  <si>
    <t>Надходження від надання майна в оренду та компенсаціій за комунальні платежі від орендаря без оплати оренди наперед</t>
  </si>
  <si>
    <t>Якщо є заборгованість бюджету з цільового фінансування, то ця сума має бути в р. 1615 "Поточна кредиторська заборгованість за товари, роботи, послуги"</t>
  </si>
  <si>
    <t>Актив - валідація на невідповідності
1. Дані р. 1125 Балансу «Дебіторська заборгованість за продукцію, товари, роботи, послуги» не можуть бути меншими, ніж у рядку «тому числі за ПМГ»;
2. Дані р.  1155 Балансу «Інша поточна дебіторська заборгованість, всього, у  тому числі» не можуть бути меншими, ніж сума  рядків «розрахунки з держaвними цільовими фондами»; «заборгованість бюджету з цільового фінансування (Дт 37 ЗБЦФ Кт 48)»; «заборгованість бюджету  для компенсації витрат (збитків)  (Дт 37 ЗБКВ Кт 719) (п.19 ПСБО 15) (ЗБКВ)»;
3.  Дані р. 1170  Балансу «Витрати майбутніх періодів» співвідносяться з надходженнями;
4. Дані р. 1090  Балансу «Інші необоротні активи" = 0; 
5. Дані р. 1190  Балансу  «Інші оборотні активи" не може містити суттєвих сум;
6. Якщо є заборгованість бюджету з цільового фінансування, то ця сума має бути в р. 1615 "Поточна кредиторська заборгованість за товари, роботи, послуги"</t>
  </si>
  <si>
    <t xml:space="preserve">СдП
заборгованість бюджету з цільового фінансування 
(Дт 37 ЗБЦФ Кт 48) </t>
  </si>
  <si>
    <t xml:space="preserve">СдК
заборгованість бюджету з цільового фінансування 
(Дт 37 ЗБЦФ Кт 48) </t>
  </si>
  <si>
    <t>СдП
р. 1615 "Поточна кредиторська заборгованість за товари, роботи, послуги"</t>
  </si>
  <si>
    <t>СдК
р. 1615 "Поточна кредиторська заборгованість за товари, роботи, послуги"</t>
  </si>
  <si>
    <t>Відхилення 63 від 37 ЗБЦФ</t>
  </si>
  <si>
    <t>Баланс
Зміна статутного та неоплачено капіталу СдП - СдК (зменшення зі знаком"+", збільшення зі знаком"-")</t>
  </si>
  <si>
    <t xml:space="preserve">Баланс СдП
Статутний + неоплачений капітал </t>
  </si>
  <si>
    <t xml:space="preserve">Баланс СдК
Статутний + неоплачений капітал </t>
  </si>
  <si>
    <r>
      <t xml:space="preserve">Таблиця 13
Т13.2 Амортизація дооцінки
</t>
    </r>
    <r>
      <rPr>
        <b/>
        <sz val="14"/>
        <color indexed="10"/>
        <rFont val="Times New Roman"/>
        <family val="1"/>
        <charset val="204"/>
      </rPr>
      <t>Значення не може бути від’ємним!</t>
    </r>
  </si>
  <si>
    <t>відхилення 
надходження на 2 міс. - СдК</t>
  </si>
  <si>
    <t>Таблиця 1
Дохід (надходження) відсотків банку від депозиту</t>
  </si>
  <si>
    <t>Якщо дохід від  депозиту в банку більше, ніж його розрахункова величина, то ПРАВДА</t>
  </si>
  <si>
    <r>
      <t xml:space="preserve">Інший операційних дохід </t>
    </r>
    <r>
      <rPr>
        <sz val="14"/>
        <color indexed="56"/>
        <rFont val="Times New Roman"/>
        <family val="1"/>
        <charset val="204"/>
      </rPr>
      <t>без урахування доходу  для покриття витрат (збитків) за рахунок бюджету, надходження від нецільової благодійної допомоги, дохід від депозиту банку</t>
    </r>
  </si>
  <si>
    <t xml:space="preserve">Валідація обсягу нерозподіленого прибутку </t>
  </si>
  <si>
    <t>р. 1430 Балансу  Вилучений капітал 
СдП+Сдк</t>
  </si>
  <si>
    <t>Дані р.1430  "Вилучений капітал " Балансу мають дорівнювати 0</t>
  </si>
  <si>
    <t xml:space="preserve">Пасив - валідація на невідповідності
1. Дані р. 1525 Балансу "Цільове фінансування (всього)" не можуть бути меншими, ніж сума відповідних рядків із запасами та капітальними інвестиціями;
2. Дані р. 1665 Балансу "Доходи майбутніх періодів (всього)" не можуть бути меншими, ніж залишкова вартість НА, ОЗ що  придбані за кошти цільового фінансування;
3. Дані р. 1635 Балансу "Поточна кредиторська заборгованість за отриманими авансами, всього" не можуть бути меншими, ніж "у тому числі аванси за ПМГ" та "у тому числі аванси за медичні та немедичні послуги за кошти фізичних і юридичних осіб, за страховими виплатами";
4. Дані р. "Цільове фінансування інше" Балансу мають бути менше або рівними сумі залишку грошових коштів та авансів;
5. Дані р. "Додатковий капітал інше" Балансу мають дорівнювати 0;
6. Дані р. 1660 "Поточні забезпечення" Балансу не більше витрат на оплату праці в місяць;
7. Дані р. "доходи майбутніх періодів інше" Балансу  не  більше двох  місячних сум  від надання майна в оренду  (якщо Договор містить предоплати за останні місяці);
8. Дані р. 1690 "Інші поточні зобов’язання" не може містити суттєвих сум;
9. Дані р.1430  "Вилучений капітал " Балансу мають дорівнювати 0. </t>
  </si>
  <si>
    <t>1. Надходження ПМГ &gt; 0;  
3.Цільове фінансування за рахунок коштів бюджетів усіх рівнів має бути відображено у таблиці 1 Надходження 
3. Перевірка, обороти бюджету
Баланс СдП 377 +Дт 37 -Баланс СдК 377 = Кт 37</t>
  </si>
  <si>
    <t>5True, 1 Увага</t>
  </si>
  <si>
    <r>
      <t xml:space="preserve">
</t>
    </r>
    <r>
      <rPr>
        <sz val="14"/>
        <color indexed="56"/>
        <rFont val="Times New Roman"/>
        <family val="1"/>
        <charset val="204"/>
      </rPr>
      <t xml:space="preserve">Якщо є заборгованість з цільового фінансування на початок періоду, то має бути погашення заборгованості бюджету з цільового фінансування  (Дт 31 Кт 37 ПЗБЦФ) </t>
    </r>
  </si>
  <si>
    <t>Наявність грошових коштів з бюджетів (таблиця 1 гр.6+гр.8)</t>
  </si>
  <si>
    <t>Верифікація, обороти бюджету
Баланс СдП 37 ЗБКВ +Дт 37 ЗБКВ -Баланс СдК 37 ЗБКВ
= Кт 37 ПЗБКВ</t>
  </si>
  <si>
    <t>Верифікація, обороти бюджету
Баланс СдП 37 ЗБЦФ +Дт 37 ЗБЦФ -Баланс СдК 37 ЗБЦФ 
= Кт 37 ПЗБЦФ</t>
  </si>
  <si>
    <t>Верифікація Т1 гр. 19
обороти бюджету
Баланс СдП 37 ЗБКВ +Дт 37 ЗБКВ -Баланс СдК 37 ЗБКВ
= Кт 37 ПЗБКВ</t>
  </si>
  <si>
    <t>Верифікація Т1 гр. 15
обороти бюджету
Баланс СдП 37 ЗБЦФ +Дт 37 ЗБЦФ -Баланс СдК 37 ЗБЦФ 
= Кт 37 ПЗБЦФ</t>
  </si>
  <si>
    <t>Умовна (тимчасово)</t>
  </si>
  <si>
    <t>Індивідуальний аналіз</t>
  </si>
  <si>
    <t>Таблиця 4, р. 4.2. гр.5
Інший операційний дохід без доходу  для покриття витрат (збитків) за рахунок бюджету  (Дт 37 ЗБКВ Кт 719)</t>
  </si>
  <si>
    <t>Таблиця 1
Дохід (надходження) відсотків банку від депозиту, який не є неопераційним доходом</t>
  </si>
  <si>
    <t>верифікації</t>
  </si>
  <si>
    <t>Загальний дохід (доходи,  аванси ПМГ та коригування прибутку по дооцінці )</t>
  </si>
  <si>
    <t>Результат (різниця між загальним  доходом та витратами періоду)</t>
  </si>
  <si>
    <t>з таблиці 8.1</t>
  </si>
  <si>
    <t xml:space="preserve">   у тому числі за медичні та немедичні послуги за кошти фізичних і юридичних осіб, за страхові виплати</t>
  </si>
  <si>
    <r>
      <t xml:space="preserve">Вирахування з доходу </t>
    </r>
    <r>
      <rPr>
        <i/>
        <sz val="11"/>
        <rFont val="Times New Roman"/>
        <family val="1"/>
        <charset val="204"/>
      </rPr>
      <t>(сума наданих після дати реалізації знижок покупцям, вартість повернених покупцем продукції та товарів та інші суми, що підлягають вирахуванню з доходу)</t>
    </r>
  </si>
  <si>
    <t>Нецільова благодійна допомога</t>
  </si>
  <si>
    <t>Цільова благодійна допомога</t>
  </si>
  <si>
    <t>1635.2. у тому числі аванси за медичні та немедичні послуги за кошти фізичних і юридичних осіб, за страховими виплатами</t>
  </si>
  <si>
    <t>1635.2</t>
  </si>
  <si>
    <t>1125.2</t>
  </si>
  <si>
    <t>1125.2. у тому числі за медичні та немедичні послуги за кошти фізичних і юридичних осіб, за страхові виплати</t>
  </si>
  <si>
    <t>4а</t>
  </si>
  <si>
    <t>На початок звітного періоду з урахуванням коригування та прийняття на баланс</t>
  </si>
  <si>
    <t>З балансу на баланс у звітному періоді</t>
  </si>
  <si>
    <t>ЗВІТ ПРО ДОХОДИ ТА ВИТРАТИ  1 квартал 2021 рік</t>
  </si>
  <si>
    <t>ПРАВДА, Увага</t>
  </si>
  <si>
    <t>ПРАВДА, УВАГА</t>
  </si>
  <si>
    <t xml:space="preserve">
Якщо є заборгованість з цільового фінансування на початок періоду, то має бути погашення заборгованості бюджету з цільового фінансування  (Дт 31 Кт 37 ПЗБЦФ) </t>
  </si>
  <si>
    <r>
      <rPr>
        <sz val="12"/>
        <color indexed="10"/>
        <rFont val="Times New Roman"/>
        <family val="1"/>
        <charset val="204"/>
      </rPr>
      <t>Увага!</t>
    </r>
    <r>
      <rPr>
        <sz val="12"/>
        <rFont val="Times New Roman"/>
        <family val="1"/>
        <charset val="204"/>
      </rPr>
      <t xml:space="preserve"> Якщо відбулася зміна статутного капіталу, то у комірці К53 надайте відповідь, чи є відповідне рішення сесії місцевої ради ("так", "ні")</t>
    </r>
  </si>
  <si>
    <t>м.Запоріжжя вул.Перспективна,2</t>
  </si>
  <si>
    <t>КНП"Запорізький регіональний клінічний фтизіопульмонологічний лікувально-діагностичний центр" ЗОР</t>
  </si>
  <si>
    <t>sima0761@ukr.net</t>
  </si>
  <si>
    <t>Тищенко О.В.</t>
  </si>
  <si>
    <t>Симонтовська Н.К.</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</si>
</sst>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80" formatCode="#,##0.0"/>
    <numFmt numFmtId="181" formatCode="0.0%"/>
    <numFmt numFmtId="182" formatCode="0.0"/>
    <numFmt numFmtId="183" formatCode="#,##0.00000"/>
    <numFmt numFmtId="184" formatCode="#,##0.00000000000000"/>
    <numFmt numFmtId="191" formatCode="0.00000"/>
    <numFmt numFmtId="214" formatCode="#,##0.000"/>
  </numFmts>
  <fonts count="153" x14ac:knownFonts="1">
    <font>
      <sz val="11"/>
      <color theme="1"/>
      <name val="Calibri"/>
      <family val="2"/>
      <charset val="204"/>
      <scheme val="minor"/>
    </font>
    <font>
      <sz val="10"/>
      <name val="Arial Cyr"/>
      <charset val="204"/>
    </font>
    <font>
      <sz val="14"/>
      <name val="Times New Roman"/>
      <family val="1"/>
      <charset val="204"/>
    </font>
    <font>
      <sz val="12"/>
      <color indexed="8"/>
      <name val="Times New Roman"/>
      <family val="1"/>
      <charset val="204"/>
    </font>
    <font>
      <b/>
      <sz val="14"/>
      <color indexed="8"/>
      <name val="Times New Roman"/>
      <family val="1"/>
      <charset val="204"/>
    </font>
    <font>
      <i/>
      <sz val="14"/>
      <name val="Times New Roman"/>
      <family val="1"/>
      <charset val="204"/>
    </font>
    <font>
      <b/>
      <sz val="14"/>
      <name val="Times New Roman"/>
      <family val="1"/>
      <charset val="204"/>
    </font>
    <font>
      <b/>
      <sz val="16"/>
      <name val="Times New Roman"/>
      <family val="1"/>
      <charset val="204"/>
    </font>
    <font>
      <sz val="16"/>
      <name val="Times New Roman"/>
      <family val="1"/>
      <charset val="204"/>
    </font>
    <font>
      <sz val="14"/>
      <color indexed="8"/>
      <name val="Times New Roman"/>
      <family val="1"/>
      <charset val="204"/>
    </font>
    <font>
      <b/>
      <sz val="16"/>
      <color indexed="8"/>
      <name val="Times New Roman"/>
      <family val="1"/>
      <charset val="204"/>
    </font>
    <font>
      <i/>
      <sz val="14"/>
      <color indexed="8"/>
      <name val="Times New Roman"/>
      <family val="1"/>
      <charset val="204"/>
    </font>
    <font>
      <sz val="12"/>
      <name val="Times New Roman"/>
      <family val="1"/>
      <charset val="204"/>
    </font>
    <font>
      <sz val="11"/>
      <color indexed="8"/>
      <name val="Calibri"/>
      <family val="2"/>
    </font>
    <font>
      <sz val="10"/>
      <color indexed="8"/>
      <name val="Times New Roman"/>
      <family val="2"/>
      <charset val="204"/>
    </font>
    <font>
      <sz val="10"/>
      <name val="Times New Roman Cyr"/>
      <charset val="204"/>
    </font>
    <font>
      <b/>
      <i/>
      <sz val="14"/>
      <name val="Times New Roman"/>
      <family val="1"/>
      <charset val="204"/>
    </font>
    <font>
      <sz val="11"/>
      <name val="Times New Roman"/>
      <family val="1"/>
      <charset val="204"/>
    </font>
    <font>
      <sz val="16"/>
      <color indexed="8"/>
      <name val="Times New Roman"/>
      <family val="1"/>
      <charset val="204"/>
    </font>
    <font>
      <b/>
      <sz val="18"/>
      <name val="Times New Roman"/>
      <family val="1"/>
      <charset val="204"/>
    </font>
    <font>
      <sz val="18"/>
      <name val="Times New Roman"/>
      <family val="1"/>
      <charset val="204"/>
    </font>
    <font>
      <i/>
      <sz val="18"/>
      <name val="Times New Roman"/>
      <family val="1"/>
      <charset val="204"/>
    </font>
    <font>
      <b/>
      <sz val="11"/>
      <name val="Times New Roman"/>
      <family val="1"/>
      <charset val="204"/>
    </font>
    <font>
      <b/>
      <sz val="12"/>
      <name val="Times New Roman"/>
      <family val="1"/>
      <charset val="204"/>
    </font>
    <font>
      <b/>
      <i/>
      <sz val="12"/>
      <name val="Times New Roman"/>
      <family val="1"/>
      <charset val="204"/>
    </font>
    <font>
      <b/>
      <sz val="14"/>
      <color indexed="10"/>
      <name val="Times New Roman"/>
      <family val="1"/>
      <charset val="204"/>
    </font>
    <font>
      <i/>
      <sz val="16"/>
      <name val="Times New Roman"/>
      <family val="1"/>
      <charset val="204"/>
    </font>
    <font>
      <b/>
      <u/>
      <sz val="14"/>
      <color indexed="8"/>
      <name val="Times New Roman"/>
      <family val="1"/>
      <charset val="204"/>
    </font>
    <font>
      <i/>
      <sz val="16"/>
      <color indexed="8"/>
      <name val="Times New Roman"/>
      <family val="1"/>
      <charset val="204"/>
    </font>
    <font>
      <sz val="24"/>
      <name val="Times New Roman"/>
      <family val="1"/>
      <charset val="204"/>
    </font>
    <font>
      <sz val="9"/>
      <color indexed="81"/>
      <name val="Tahoma"/>
      <family val="2"/>
      <charset val="204"/>
    </font>
    <font>
      <sz val="16"/>
      <color indexed="81"/>
      <name val="Tahoma"/>
      <family val="2"/>
      <charset val="204"/>
    </font>
    <font>
      <sz val="14"/>
      <color indexed="81"/>
      <name val="Tahoma"/>
      <family val="2"/>
      <charset val="204"/>
    </font>
    <font>
      <b/>
      <sz val="9"/>
      <color indexed="81"/>
      <name val="Tahoma"/>
      <family val="2"/>
      <charset val="204"/>
    </font>
    <font>
      <sz val="16"/>
      <color indexed="81"/>
      <name val="Times New Roman"/>
      <family val="1"/>
      <charset val="204"/>
    </font>
    <font>
      <sz val="10"/>
      <name val="Times New Roman"/>
      <family val="1"/>
      <charset val="204"/>
    </font>
    <font>
      <b/>
      <sz val="12"/>
      <color indexed="10"/>
      <name val="Times New Roman"/>
      <family val="1"/>
      <charset val="204"/>
    </font>
    <font>
      <u/>
      <sz val="16"/>
      <name val="Times New Roman"/>
      <family val="1"/>
      <charset val="204"/>
    </font>
    <font>
      <i/>
      <u/>
      <sz val="14"/>
      <color indexed="8"/>
      <name val="Times New Roman"/>
      <family val="1"/>
      <charset val="204"/>
    </font>
    <font>
      <i/>
      <sz val="18"/>
      <color indexed="8"/>
      <name val="Times New Roman"/>
      <family val="1"/>
      <charset val="204"/>
    </font>
    <font>
      <sz val="18"/>
      <color indexed="10"/>
      <name val="Times New Roman"/>
      <family val="1"/>
      <charset val="204"/>
    </font>
    <font>
      <b/>
      <sz val="14"/>
      <color indexed="8"/>
      <name val="Times New Roman"/>
      <family val="1"/>
      <charset val="204"/>
    </font>
    <font>
      <sz val="14"/>
      <color indexed="8"/>
      <name val="Times New Roman"/>
      <family val="1"/>
      <charset val="204"/>
    </font>
    <font>
      <i/>
      <sz val="14"/>
      <color indexed="8"/>
      <name val="Times New Roman"/>
      <family val="1"/>
      <charset val="204"/>
    </font>
    <font>
      <b/>
      <sz val="14"/>
      <color indexed="10"/>
      <name val="Times New Roman"/>
      <family val="1"/>
      <charset val="204"/>
    </font>
    <font>
      <sz val="14"/>
      <color indexed="10"/>
      <name val="Times New Roman"/>
      <family val="1"/>
      <charset val="204"/>
    </font>
    <font>
      <i/>
      <sz val="12"/>
      <name val="Times New Roman"/>
      <family val="1"/>
      <charset val="204"/>
    </font>
    <font>
      <u/>
      <sz val="14"/>
      <name val="Times New Roman"/>
      <family val="1"/>
      <charset val="204"/>
    </font>
    <font>
      <i/>
      <sz val="11"/>
      <name val="Times New Roman"/>
      <family val="1"/>
      <charset val="204"/>
    </font>
    <font>
      <b/>
      <i/>
      <sz val="11"/>
      <name val="Times New Roman"/>
      <family val="1"/>
      <charset val="204"/>
    </font>
    <font>
      <sz val="14"/>
      <color indexed="10"/>
      <name val="Times New Roman"/>
      <family val="1"/>
      <charset val="204"/>
    </font>
    <font>
      <sz val="14"/>
      <color indexed="56"/>
      <name val="Times New Roman"/>
      <family val="1"/>
      <charset val="204"/>
    </font>
    <font>
      <sz val="11"/>
      <color indexed="8"/>
      <name val="Times New Roman"/>
      <family val="1"/>
      <charset val="204"/>
    </font>
    <font>
      <sz val="11"/>
      <color indexed="9"/>
      <name val="Times New Roman"/>
      <family val="1"/>
      <charset val="204"/>
    </font>
    <font>
      <i/>
      <sz val="12"/>
      <color indexed="8"/>
      <name val="Times New Roman"/>
      <family val="1"/>
      <charset val="204"/>
    </font>
    <font>
      <i/>
      <sz val="11"/>
      <color indexed="8"/>
      <name val="Times New Roman"/>
      <family val="1"/>
      <charset val="204"/>
    </font>
    <font>
      <b/>
      <i/>
      <sz val="14"/>
      <color indexed="8"/>
      <name val="Times New Roman"/>
      <family val="1"/>
      <charset val="204"/>
    </font>
    <font>
      <sz val="16"/>
      <color indexed="10"/>
      <name val="Times New Roman"/>
      <family val="1"/>
      <charset val="204"/>
    </font>
    <font>
      <i/>
      <sz val="11"/>
      <color indexed="9"/>
      <name val="Times New Roman"/>
      <family val="1"/>
      <charset val="204"/>
    </font>
    <font>
      <i/>
      <sz val="16"/>
      <color indexed="23"/>
      <name val="Times New Roman"/>
      <family val="1"/>
      <charset val="204"/>
    </font>
    <font>
      <u/>
      <sz val="16"/>
      <color indexed="8"/>
      <name val="Times New Roman"/>
      <family val="1"/>
      <charset val="204"/>
    </font>
    <font>
      <b/>
      <i/>
      <sz val="16"/>
      <color indexed="10"/>
      <name val="Times New Roman"/>
      <family val="1"/>
      <charset val="204"/>
    </font>
    <font>
      <i/>
      <sz val="9"/>
      <name val="Times New Roman"/>
      <family val="1"/>
      <charset val="204"/>
    </font>
    <font>
      <b/>
      <sz val="12"/>
      <color indexed="8"/>
      <name val="Calibri"/>
      <family val="2"/>
      <charset val="204"/>
    </font>
    <font>
      <sz val="14"/>
      <color indexed="56"/>
      <name val="Times New Roman"/>
      <family val="1"/>
      <charset val="204"/>
    </font>
    <font>
      <i/>
      <sz val="14"/>
      <color indexed="56"/>
      <name val="Times New Roman"/>
      <family val="1"/>
      <charset val="204"/>
    </font>
    <font>
      <b/>
      <sz val="14"/>
      <color indexed="56"/>
      <name val="Times New Roman"/>
      <family val="1"/>
      <charset val="204"/>
    </font>
    <font>
      <sz val="14"/>
      <color indexed="56"/>
      <name val="Times New Roman"/>
      <family val="1"/>
      <charset val="204"/>
    </font>
    <font>
      <sz val="14"/>
      <color indexed="10"/>
      <name val="Times New Roman"/>
      <family val="1"/>
      <charset val="204"/>
    </font>
    <font>
      <sz val="14"/>
      <color indexed="56"/>
      <name val="Times New Roman"/>
      <family val="1"/>
      <charset val="204"/>
    </font>
    <font>
      <sz val="14"/>
      <color indexed="56"/>
      <name val="Times New Roman"/>
      <family val="1"/>
      <charset val="204"/>
    </font>
    <font>
      <sz val="12"/>
      <color indexed="10"/>
      <name val="Times New Roman"/>
      <family val="1"/>
      <charset val="204"/>
    </font>
    <font>
      <b/>
      <sz val="14"/>
      <color indexed="10"/>
      <name val="Times New Roman"/>
      <family val="1"/>
      <charset val="204"/>
    </font>
    <font>
      <sz val="11"/>
      <color theme="1"/>
      <name val="Calibri"/>
      <family val="2"/>
      <charset val="204"/>
      <scheme val="minor"/>
    </font>
    <font>
      <sz val="11"/>
      <color theme="0"/>
      <name val="Calibri"/>
      <family val="2"/>
      <charset val="204"/>
      <scheme val="minor"/>
    </font>
    <font>
      <sz val="11"/>
      <color theme="1"/>
      <name val="Times New Roman"/>
      <family val="2"/>
      <charset val="204"/>
    </font>
    <font>
      <u/>
      <sz val="11"/>
      <color theme="10"/>
      <name val="Calibri"/>
      <family val="2"/>
      <charset val="204"/>
      <scheme val="minor"/>
    </font>
    <font>
      <b/>
      <sz val="11"/>
      <color theme="1"/>
      <name val="Calibri"/>
      <family val="2"/>
      <charset val="204"/>
      <scheme val="minor"/>
    </font>
    <font>
      <i/>
      <sz val="14"/>
      <color rgb="FF000000"/>
      <name val="Times New Roman"/>
      <family val="1"/>
      <charset val="204"/>
    </font>
    <font>
      <sz val="16"/>
      <color rgb="FFFF0000"/>
      <name val="Times New Roman"/>
      <family val="1"/>
      <charset val="204"/>
    </font>
    <font>
      <sz val="11"/>
      <color theme="1"/>
      <name val="Times New Roman"/>
      <family val="1"/>
      <charset val="204"/>
    </font>
    <font>
      <sz val="12"/>
      <color theme="1"/>
      <name val="Times New Roman"/>
      <family val="1"/>
      <charset val="204"/>
    </font>
    <font>
      <sz val="11"/>
      <color theme="0"/>
      <name val="Times New Roman"/>
      <family val="1"/>
      <charset val="204"/>
    </font>
    <font>
      <b/>
      <sz val="14"/>
      <color theme="1"/>
      <name val="Times New Roman"/>
      <family val="1"/>
      <charset val="204"/>
    </font>
    <font>
      <sz val="10"/>
      <color theme="1"/>
      <name val="Times New Roman"/>
      <family val="1"/>
      <charset val="204"/>
    </font>
    <font>
      <sz val="14"/>
      <color theme="1"/>
      <name val="Times New Roman"/>
      <family val="1"/>
      <charset val="204"/>
    </font>
    <font>
      <i/>
      <sz val="14"/>
      <color theme="1"/>
      <name val="Times New Roman"/>
      <family val="1"/>
      <charset val="204"/>
    </font>
    <font>
      <sz val="14"/>
      <color theme="1" tint="0.34998626667073579"/>
      <name val="Times New Roman"/>
      <family val="1"/>
      <charset val="204"/>
    </font>
    <font>
      <sz val="9"/>
      <color theme="1"/>
      <name val="Times New Roman"/>
      <family val="1"/>
      <charset val="204"/>
    </font>
    <font>
      <sz val="14"/>
      <color theme="0"/>
      <name val="Times New Roman"/>
      <family val="1"/>
      <charset val="204"/>
    </font>
    <font>
      <u/>
      <sz val="16"/>
      <color theme="10"/>
      <name val="Calibri"/>
      <family val="2"/>
      <charset val="204"/>
      <scheme val="minor"/>
    </font>
    <font>
      <b/>
      <sz val="12"/>
      <color theme="1"/>
      <name val="Times New Roman"/>
      <family val="1"/>
      <charset val="204"/>
    </font>
    <font>
      <sz val="14"/>
      <color rgb="FFFF0000"/>
      <name val="Times New Roman"/>
      <family val="1"/>
      <charset val="204"/>
    </font>
    <font>
      <b/>
      <sz val="14"/>
      <color rgb="FFFF0000"/>
      <name val="Times New Roman"/>
      <family val="1"/>
      <charset val="204"/>
    </font>
    <font>
      <i/>
      <sz val="14"/>
      <color rgb="FFFF0000"/>
      <name val="Times New Roman"/>
      <family val="1"/>
      <charset val="204"/>
    </font>
    <font>
      <i/>
      <sz val="12"/>
      <color theme="1"/>
      <name val="Times New Roman"/>
      <family val="1"/>
      <charset val="204"/>
    </font>
    <font>
      <sz val="14"/>
      <color rgb="FF000000"/>
      <name val="Times New Roman"/>
      <family val="1"/>
      <charset val="204"/>
    </font>
    <font>
      <b/>
      <sz val="16"/>
      <color theme="1"/>
      <name val="Times New Roman"/>
      <family val="1"/>
      <charset val="204"/>
    </font>
    <font>
      <sz val="10"/>
      <color theme="1"/>
      <name val="Calibri"/>
      <family val="2"/>
      <charset val="204"/>
      <scheme val="minor"/>
    </font>
    <font>
      <b/>
      <sz val="10"/>
      <color theme="1"/>
      <name val="Times New Roman"/>
      <family val="1"/>
      <charset val="204"/>
    </font>
    <font>
      <b/>
      <i/>
      <sz val="10"/>
      <color theme="1"/>
      <name val="Times New Roman"/>
      <family val="1"/>
      <charset val="204"/>
    </font>
    <font>
      <b/>
      <sz val="10"/>
      <color theme="1"/>
      <name val="Calibri"/>
      <family val="2"/>
      <charset val="204"/>
      <scheme val="minor"/>
    </font>
    <font>
      <i/>
      <sz val="16"/>
      <color theme="1"/>
      <name val="Times New Roman"/>
      <family val="1"/>
      <charset val="204"/>
    </font>
    <font>
      <sz val="16"/>
      <color theme="1"/>
      <name val="Times New Roman"/>
      <family val="1"/>
      <charset val="204"/>
    </font>
    <font>
      <sz val="18"/>
      <color theme="1"/>
      <name val="Calibri"/>
      <family val="2"/>
      <charset val="204"/>
      <scheme val="minor"/>
    </font>
    <font>
      <b/>
      <i/>
      <sz val="14"/>
      <color theme="1"/>
      <name val="Times New Roman"/>
      <family val="1"/>
      <charset val="204"/>
    </font>
    <font>
      <i/>
      <sz val="16"/>
      <color rgb="FFFF0000"/>
      <name val="Times New Roman"/>
      <family val="1"/>
      <charset val="204"/>
    </font>
    <font>
      <sz val="14"/>
      <color theme="1"/>
      <name val="Calibri"/>
      <family val="2"/>
      <charset val="204"/>
      <scheme val="minor"/>
    </font>
    <font>
      <b/>
      <sz val="18"/>
      <color theme="1"/>
      <name val="Calibri"/>
      <family val="2"/>
      <charset val="204"/>
      <scheme val="minor"/>
    </font>
    <font>
      <b/>
      <sz val="14"/>
      <color theme="1"/>
      <name val="Calibri"/>
      <family val="2"/>
      <charset val="204"/>
      <scheme val="minor"/>
    </font>
    <font>
      <i/>
      <sz val="14"/>
      <color theme="1"/>
      <name val="Calibri"/>
      <family val="2"/>
      <charset val="204"/>
      <scheme val="minor"/>
    </font>
    <font>
      <sz val="14"/>
      <color theme="0" tint="-0.499984740745262"/>
      <name val="Times New Roman"/>
      <family val="1"/>
      <charset val="204"/>
    </font>
    <font>
      <i/>
      <sz val="14"/>
      <color theme="0" tint="-0.499984740745262"/>
      <name val="Times New Roman"/>
      <family val="1"/>
      <charset val="204"/>
    </font>
    <font>
      <sz val="20"/>
      <color theme="0"/>
      <name val="Times New Roman"/>
      <family val="1"/>
      <charset val="204"/>
    </font>
    <font>
      <b/>
      <i/>
      <sz val="20"/>
      <color theme="0"/>
      <name val="Times New Roman"/>
      <family val="1"/>
      <charset val="204"/>
    </font>
    <font>
      <b/>
      <sz val="20"/>
      <color theme="0"/>
      <name val="Times New Roman"/>
      <family val="1"/>
      <charset val="204"/>
    </font>
    <font>
      <sz val="18"/>
      <color theme="1"/>
      <name val="Times New Roman"/>
      <family val="1"/>
      <charset val="204"/>
    </font>
    <font>
      <sz val="14"/>
      <color rgb="FF002060"/>
      <name val="Times New Roman"/>
      <family val="1"/>
      <charset val="204"/>
    </font>
    <font>
      <sz val="12"/>
      <color theme="1"/>
      <name val="Calibri"/>
      <family val="2"/>
      <charset val="204"/>
      <scheme val="minor"/>
    </font>
    <font>
      <i/>
      <sz val="14"/>
      <color theme="0"/>
      <name val="Times New Roman"/>
      <family val="1"/>
      <charset val="204"/>
    </font>
    <font>
      <b/>
      <i/>
      <sz val="16"/>
      <color theme="1"/>
      <name val="Times New Roman"/>
      <family val="1"/>
      <charset val="204"/>
    </font>
    <font>
      <sz val="16"/>
      <color theme="1" tint="0.499984740745262"/>
      <name val="Times New Roman"/>
      <family val="1"/>
      <charset val="204"/>
    </font>
    <font>
      <i/>
      <sz val="18"/>
      <color theme="1"/>
      <name val="Times New Roman"/>
      <family val="1"/>
      <charset val="204"/>
    </font>
    <font>
      <i/>
      <sz val="11"/>
      <color theme="0"/>
      <name val="Times New Roman"/>
      <family val="1"/>
      <charset val="204"/>
    </font>
    <font>
      <i/>
      <sz val="11"/>
      <color theme="1"/>
      <name val="Times New Roman"/>
      <family val="1"/>
      <charset val="204"/>
    </font>
    <font>
      <b/>
      <i/>
      <sz val="14"/>
      <color rgb="FFFF0000"/>
      <name val="Times New Roman"/>
      <family val="1"/>
      <charset val="204"/>
    </font>
    <font>
      <b/>
      <i/>
      <sz val="11"/>
      <color theme="1"/>
      <name val="Times New Roman"/>
      <family val="1"/>
      <charset val="204"/>
    </font>
    <font>
      <sz val="14"/>
      <color theme="0" tint="-0.34998626667073579"/>
      <name val="Times New Roman"/>
      <family val="1"/>
      <charset val="204"/>
    </font>
    <font>
      <b/>
      <sz val="16"/>
      <color rgb="FF333333"/>
      <name val="Times New Roman"/>
      <family val="1"/>
      <charset val="204"/>
    </font>
    <font>
      <i/>
      <sz val="14"/>
      <color rgb="FF002060"/>
      <name val="Times New Roman"/>
      <family val="1"/>
      <charset val="204"/>
    </font>
    <font>
      <b/>
      <i/>
      <sz val="14"/>
      <color rgb="FF002060"/>
      <name val="Times New Roman"/>
      <family val="1"/>
      <charset val="204"/>
    </font>
    <font>
      <b/>
      <sz val="28"/>
      <color theme="0"/>
      <name val="Times New Roman"/>
      <family val="1"/>
      <charset val="204"/>
    </font>
    <font>
      <sz val="14"/>
      <color theme="0" tint="-0.14999847407452621"/>
      <name val="Times New Roman"/>
      <family val="1"/>
      <charset val="204"/>
    </font>
    <font>
      <sz val="12"/>
      <color theme="0"/>
      <name val="Times New Roman"/>
      <family val="1"/>
      <charset val="204"/>
    </font>
    <font>
      <sz val="14"/>
      <color theme="2" tint="-9.9978637043366805E-2"/>
      <name val="Times New Roman"/>
      <family val="1"/>
      <charset val="204"/>
    </font>
    <font>
      <sz val="12"/>
      <color theme="2" tint="-9.9978637043366805E-2"/>
      <name val="Times New Roman"/>
      <family val="1"/>
      <charset val="204"/>
    </font>
    <font>
      <b/>
      <sz val="14"/>
      <color rgb="FF002060"/>
      <name val="Times New Roman"/>
      <family val="1"/>
      <charset val="204"/>
    </font>
    <font>
      <i/>
      <sz val="16"/>
      <color theme="1"/>
      <name val="Calibri"/>
      <family val="2"/>
      <charset val="204"/>
      <scheme val="minor"/>
    </font>
    <font>
      <sz val="16"/>
      <color theme="1"/>
      <name val="Calibri"/>
      <family val="2"/>
      <charset val="204"/>
      <scheme val="minor"/>
    </font>
    <font>
      <sz val="16"/>
      <color rgb="FF002060"/>
      <name val="Times New Roman"/>
      <family val="1"/>
      <charset val="204"/>
    </font>
    <font>
      <b/>
      <i/>
      <sz val="12"/>
      <color rgb="FFFF0000"/>
      <name val="Times New Roman"/>
      <family val="1"/>
      <charset val="204"/>
    </font>
    <font>
      <sz val="8"/>
      <color theme="1"/>
      <name val="Times New Roman"/>
      <family val="1"/>
      <charset val="204"/>
    </font>
    <font>
      <u/>
      <sz val="14"/>
      <color theme="1"/>
      <name val="Times New Roman"/>
      <family val="1"/>
      <charset val="204"/>
    </font>
    <font>
      <sz val="11"/>
      <color rgb="FF002060"/>
      <name val="Calibri"/>
      <family val="2"/>
      <charset val="204"/>
      <scheme val="minor"/>
    </font>
    <font>
      <sz val="16"/>
      <color theme="0"/>
      <name val="Calibri"/>
      <family val="2"/>
      <charset val="204"/>
      <scheme val="minor"/>
    </font>
    <font>
      <b/>
      <sz val="11"/>
      <color theme="1"/>
      <name val="Times New Roman"/>
      <family val="1"/>
      <charset val="204"/>
    </font>
    <font>
      <sz val="18"/>
      <color rgb="FF002060"/>
      <name val="Times New Roman"/>
      <family val="1"/>
      <charset val="204"/>
    </font>
    <font>
      <sz val="12"/>
      <color rgb="FF000000"/>
      <name val="Times New Roman"/>
      <family val="1"/>
      <charset val="204"/>
    </font>
    <font>
      <b/>
      <u/>
      <sz val="14"/>
      <color theme="1"/>
      <name val="Times New Roman"/>
      <family val="1"/>
      <charset val="204"/>
    </font>
    <font>
      <b/>
      <sz val="24"/>
      <color rgb="FFFF0000"/>
      <name val="Times New Roman"/>
      <family val="1"/>
      <charset val="204"/>
    </font>
    <font>
      <b/>
      <sz val="22"/>
      <color rgb="FFFF0000"/>
      <name val="Times New Roman"/>
      <family val="1"/>
      <charset val="204"/>
    </font>
    <font>
      <b/>
      <sz val="18"/>
      <color theme="1"/>
      <name val="Times New Roman"/>
      <family val="1"/>
      <charset val="204"/>
    </font>
    <font>
      <b/>
      <sz val="16"/>
      <color rgb="FFFF0000"/>
      <name val="Times New Roman"/>
      <family val="1"/>
      <charset val="20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70C0"/>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000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s>
  <cellStyleXfs count="9">
    <xf numFmtId="0" fontId="0" fillId="0" borderId="0"/>
    <xf numFmtId="0" fontId="73" fillId="0" borderId="0"/>
    <xf numFmtId="0" fontId="75" fillId="0" borderId="0"/>
    <xf numFmtId="0" fontId="14" fillId="0" borderId="0"/>
    <xf numFmtId="0" fontId="15" fillId="0" borderId="0"/>
    <xf numFmtId="0" fontId="76" fillId="0" borderId="0" applyNumberFormat="0" applyFill="0" applyBorder="0" applyAlignment="0" applyProtection="0"/>
    <xf numFmtId="0" fontId="1" fillId="0" borderId="0"/>
    <xf numFmtId="0" fontId="13" fillId="0" borderId="0"/>
    <xf numFmtId="43" fontId="73" fillId="0" borderId="0" applyFont="0" applyFill="0" applyBorder="0" applyAlignment="0" applyProtection="0"/>
  </cellStyleXfs>
  <cellXfs count="3011">
    <xf numFmtId="0" fontId="0" fillId="0" borderId="0" xfId="0"/>
    <xf numFmtId="0" fontId="2" fillId="0" borderId="0" xfId="6" applyFont="1" applyFill="1" applyBorder="1" applyAlignment="1">
      <alignment horizontal="left" vertical="center"/>
    </xf>
    <xf numFmtId="0" fontId="2" fillId="0" borderId="0" xfId="6" applyFont="1" applyFill="1" applyBorder="1" applyAlignment="1">
      <alignment vertical="center"/>
    </xf>
    <xf numFmtId="0" fontId="2" fillId="0" borderId="1" xfId="6" applyFont="1" applyFill="1" applyBorder="1" applyAlignment="1">
      <alignment vertical="center"/>
    </xf>
    <xf numFmtId="0" fontId="2" fillId="3" borderId="0" xfId="6" applyFont="1" applyFill="1" applyBorder="1" applyAlignment="1">
      <alignment vertical="center"/>
    </xf>
    <xf numFmtId="0" fontId="78" fillId="0" borderId="0" xfId="0" applyFont="1" applyBorder="1" applyAlignment="1">
      <alignment horizontal="center" vertical="center" wrapText="1"/>
    </xf>
    <xf numFmtId="0" fontId="8" fillId="0" borderId="0" xfId="6" applyFont="1" applyFill="1" applyBorder="1" applyAlignment="1">
      <alignment horizontal="center" vertical="center"/>
    </xf>
    <xf numFmtId="0" fontId="79" fillId="0" borderId="0" xfId="6" applyFont="1" applyFill="1" applyBorder="1" applyAlignment="1">
      <alignment horizontal="center" vertical="center"/>
    </xf>
    <xf numFmtId="0" fontId="8" fillId="0" borderId="0" xfId="6" applyFont="1" applyFill="1" applyBorder="1" applyAlignment="1">
      <alignment horizontal="left" vertical="center" wrapText="1"/>
    </xf>
    <xf numFmtId="0" fontId="80" fillId="0" borderId="0" xfId="0" applyFont="1"/>
    <xf numFmtId="0" fontId="81" fillId="0" borderId="0" xfId="0" applyFont="1" applyBorder="1" applyAlignment="1">
      <alignment horizontal="center" vertical="center" wrapText="1"/>
    </xf>
    <xf numFmtId="49" fontId="8" fillId="3" borderId="0" xfId="6" applyNumberFormat="1" applyFont="1" applyFill="1" applyBorder="1" applyAlignment="1">
      <alignment horizontal="left" vertical="top" wrapText="1" indent="1" readingOrder="1"/>
    </xf>
    <xf numFmtId="0" fontId="2" fillId="0" borderId="0" xfId="6" applyFont="1" applyFill="1" applyBorder="1" applyAlignment="1">
      <alignment vertical="center" wrapText="1"/>
    </xf>
    <xf numFmtId="0" fontId="8" fillId="0" borderId="0" xfId="6" applyFont="1" applyFill="1" applyBorder="1" applyAlignment="1">
      <alignment horizontal="left"/>
    </xf>
    <xf numFmtId="0" fontId="2" fillId="3" borderId="0" xfId="6" applyFont="1" applyFill="1" applyBorder="1" applyAlignment="1">
      <alignment vertical="center" wrapText="1"/>
    </xf>
    <xf numFmtId="0" fontId="7" fillId="0" borderId="0" xfId="6" applyFont="1" applyFill="1" applyBorder="1" applyAlignment="1">
      <alignment horizontal="left" vertical="center"/>
    </xf>
    <xf numFmtId="0" fontId="82" fillId="0" borderId="0" xfId="0" applyFont="1"/>
    <xf numFmtId="0" fontId="82" fillId="0" borderId="0" xfId="0" applyFont="1" applyBorder="1"/>
    <xf numFmtId="0" fontId="83" fillId="0" borderId="0" xfId="0" applyFont="1" applyAlignment="1">
      <alignment vertical="center"/>
    </xf>
    <xf numFmtId="0" fontId="84" fillId="3" borderId="0" xfId="0" applyFont="1" applyFill="1" applyBorder="1" applyAlignment="1">
      <alignment horizontal="center" vertical="center" wrapText="1"/>
    </xf>
    <xf numFmtId="0" fontId="84" fillId="0" borderId="0" xfId="0" applyFont="1" applyBorder="1" applyAlignment="1">
      <alignment horizontal="center" vertical="center" wrapText="1"/>
    </xf>
    <xf numFmtId="0" fontId="12" fillId="0" borderId="0" xfId="6" applyFont="1" applyFill="1" applyBorder="1" applyAlignment="1">
      <alignment horizontal="left" vertical="center"/>
    </xf>
    <xf numFmtId="0" fontId="81" fillId="0" borderId="0" xfId="0" applyFont="1"/>
    <xf numFmtId="0" fontId="12" fillId="0" borderId="0" xfId="6" applyFont="1" applyFill="1" applyBorder="1" applyAlignment="1">
      <alignment vertical="center"/>
    </xf>
    <xf numFmtId="0" fontId="12" fillId="0" borderId="0" xfId="6" applyFont="1" applyFill="1" applyBorder="1" applyAlignment="1">
      <alignment horizontal="left"/>
    </xf>
    <xf numFmtId="0" fontId="80" fillId="0" borderId="0" xfId="0" applyFont="1" applyAlignment="1">
      <alignment horizontal="center"/>
    </xf>
    <xf numFmtId="0" fontId="80" fillId="0" borderId="0" xfId="0" applyFont="1" applyBorder="1"/>
    <xf numFmtId="0" fontId="85" fillId="3" borderId="1" xfId="0" applyFont="1" applyFill="1" applyBorder="1" applyAlignment="1">
      <alignment horizontal="left" vertical="center" wrapText="1"/>
    </xf>
    <xf numFmtId="0" fontId="2" fillId="3" borderId="2" xfId="6" applyFont="1" applyFill="1" applyBorder="1" applyAlignment="1">
      <alignment vertical="center"/>
    </xf>
    <xf numFmtId="16" fontId="12" fillId="3" borderId="2" xfId="6" applyNumberFormat="1" applyFont="1" applyFill="1" applyBorder="1" applyAlignment="1">
      <alignment vertical="center"/>
    </xf>
    <xf numFmtId="0" fontId="2" fillId="0" borderId="2" xfId="6" applyFont="1" applyFill="1" applyBorder="1" applyAlignment="1">
      <alignment vertical="center"/>
    </xf>
    <xf numFmtId="0" fontId="80" fillId="3" borderId="0" xfId="0" applyFont="1" applyFill="1"/>
    <xf numFmtId="0" fontId="2" fillId="3" borderId="1" xfId="0" applyFont="1" applyFill="1" applyBorder="1" applyAlignment="1">
      <alignment horizontal="left" vertical="center" wrapText="1"/>
    </xf>
    <xf numFmtId="0" fontId="2" fillId="3" borderId="1" xfId="6" applyFont="1" applyFill="1" applyBorder="1" applyAlignment="1">
      <alignment vertical="center" wrapText="1"/>
    </xf>
    <xf numFmtId="0" fontId="86" fillId="0" borderId="0" xfId="0" applyFont="1" applyAlignment="1">
      <alignment horizontal="right"/>
    </xf>
    <xf numFmtId="0" fontId="85" fillId="3" borderId="1" xfId="0" applyFont="1" applyFill="1" applyBorder="1" applyAlignment="1">
      <alignment horizontal="center" vertical="center"/>
    </xf>
    <xf numFmtId="0" fontId="83" fillId="3" borderId="1" xfId="0" applyFont="1" applyFill="1" applyBorder="1" applyAlignment="1">
      <alignment vertical="center"/>
    </xf>
    <xf numFmtId="0" fontId="85" fillId="0" borderId="1" xfId="0" applyFont="1" applyFill="1" applyBorder="1" applyAlignment="1">
      <alignment horizontal="center"/>
    </xf>
    <xf numFmtId="0" fontId="86" fillId="0" borderId="1" xfId="0" applyFont="1" applyFill="1" applyBorder="1" applyAlignment="1">
      <alignment horizontal="center"/>
    </xf>
    <xf numFmtId="0" fontId="87" fillId="0" borderId="1" xfId="0" applyFont="1" applyFill="1" applyBorder="1" applyAlignment="1">
      <alignment horizontal="center"/>
    </xf>
    <xf numFmtId="0" fontId="83" fillId="0" borderId="1" xfId="0" applyFont="1" applyFill="1" applyBorder="1" applyAlignment="1">
      <alignment horizontal="center"/>
    </xf>
    <xf numFmtId="0" fontId="85" fillId="4" borderId="1" xfId="0" applyFont="1" applyFill="1" applyBorder="1" applyAlignment="1">
      <alignment horizontal="center"/>
    </xf>
    <xf numFmtId="0" fontId="12" fillId="3" borderId="1" xfId="6" applyNumberFormat="1" applyFont="1" applyFill="1" applyBorder="1" applyAlignment="1">
      <alignment horizontal="center" vertical="center"/>
    </xf>
    <xf numFmtId="0" fontId="6" fillId="5" borderId="1" xfId="6" applyFont="1" applyFill="1" applyBorder="1" applyAlignment="1">
      <alignment vertical="center" wrapText="1"/>
    </xf>
    <xf numFmtId="0" fontId="88" fillId="0" borderId="0" xfId="0" applyFont="1" applyBorder="1"/>
    <xf numFmtId="4" fontId="2" fillId="3" borderId="0" xfId="6" applyNumberFormat="1" applyFont="1" applyFill="1" applyBorder="1" applyAlignment="1">
      <alignment horizontal="center" vertical="center"/>
    </xf>
    <xf numFmtId="4" fontId="80" fillId="0" borderId="0" xfId="0" applyNumberFormat="1" applyFont="1"/>
    <xf numFmtId="4" fontId="12" fillId="3" borderId="1" xfId="6" applyNumberFormat="1" applyFont="1" applyFill="1" applyBorder="1" applyAlignment="1">
      <alignment horizontal="center" vertical="center" wrapText="1"/>
    </xf>
    <xf numFmtId="4" fontId="83" fillId="6" borderId="1" xfId="0" applyNumberFormat="1" applyFont="1" applyFill="1" applyBorder="1"/>
    <xf numFmtId="1" fontId="17" fillId="3" borderId="1" xfId="6" applyNumberFormat="1" applyFont="1" applyFill="1" applyBorder="1" applyAlignment="1">
      <alignment horizontal="center" wrapText="1"/>
    </xf>
    <xf numFmtId="3" fontId="2" fillId="3" borderId="1" xfId="6" applyNumberFormat="1" applyFont="1" applyFill="1" applyBorder="1" applyAlignment="1">
      <alignment horizontal="center" vertical="center" wrapText="1"/>
    </xf>
    <xf numFmtId="3" fontId="2" fillId="0" borderId="1" xfId="6" applyNumberFormat="1" applyFont="1" applyFill="1" applyBorder="1" applyAlignment="1">
      <alignment horizontal="center" vertical="center"/>
    </xf>
    <xf numFmtId="0" fontId="89" fillId="0" borderId="0" xfId="6" applyFont="1" applyFill="1" applyBorder="1" applyAlignment="1">
      <alignment vertical="center"/>
    </xf>
    <xf numFmtId="0" fontId="82" fillId="0" borderId="0" xfId="0" applyFont="1" applyAlignment="1">
      <alignment horizontal="center"/>
    </xf>
    <xf numFmtId="1" fontId="12" fillId="3" borderId="1" xfId="6" applyNumberFormat="1" applyFont="1" applyFill="1" applyBorder="1" applyAlignment="1">
      <alignment horizontal="center" vertical="center"/>
    </xf>
    <xf numFmtId="0" fontId="6" fillId="0" borderId="0" xfId="6" applyFont="1" applyFill="1" applyBorder="1" applyAlignment="1"/>
    <xf numFmtId="0" fontId="5" fillId="3" borderId="0" xfId="6" applyFont="1" applyFill="1" applyBorder="1" applyAlignment="1">
      <alignment horizontal="right"/>
    </xf>
    <xf numFmtId="4" fontId="2" fillId="0" borderId="1" xfId="6" applyNumberFormat="1" applyFont="1" applyFill="1" applyBorder="1" applyAlignment="1" applyProtection="1">
      <alignment horizontal="center" vertical="center"/>
      <protection locked="0"/>
    </xf>
    <xf numFmtId="4" fontId="85" fillId="0" borderId="1" xfId="0" applyNumberFormat="1" applyFont="1" applyBorder="1" applyProtection="1">
      <protection locked="0"/>
    </xf>
    <xf numFmtId="4" fontId="5" fillId="0" borderId="3" xfId="6" applyNumberFormat="1" applyFont="1" applyFill="1" applyBorder="1" applyAlignment="1">
      <alignment horizontal="center" vertical="center" wrapText="1"/>
    </xf>
    <xf numFmtId="4" fontId="5" fillId="0" borderId="4" xfId="6" applyNumberFormat="1" applyFont="1" applyFill="1" applyBorder="1" applyAlignment="1">
      <alignment horizontal="center" vertical="center" wrapText="1"/>
    </xf>
    <xf numFmtId="4" fontId="85" fillId="0" borderId="5" xfId="0" applyNumberFormat="1" applyFont="1" applyBorder="1" applyProtection="1">
      <protection locked="0"/>
    </xf>
    <xf numFmtId="4" fontId="85" fillId="0" borderId="6" xfId="0" applyNumberFormat="1" applyFont="1" applyBorder="1" applyProtection="1">
      <protection locked="0"/>
    </xf>
    <xf numFmtId="4" fontId="85" fillId="0" borderId="7" xfId="0" applyNumberFormat="1" applyFont="1" applyBorder="1" applyProtection="1">
      <protection locked="0"/>
    </xf>
    <xf numFmtId="0" fontId="2" fillId="0" borderId="0" xfId="6" applyFont="1" applyFill="1" applyBorder="1" applyAlignment="1">
      <alignment horizontal="center" vertical="center"/>
    </xf>
    <xf numFmtId="0" fontId="2" fillId="0" borderId="1" xfId="6" applyFont="1" applyFill="1" applyBorder="1" applyAlignment="1">
      <alignment horizontal="left" vertical="center"/>
    </xf>
    <xf numFmtId="0" fontId="2" fillId="0" borderId="2" xfId="6" applyFont="1" applyFill="1" applyBorder="1" applyAlignment="1">
      <alignment horizontal="center" vertical="center"/>
    </xf>
    <xf numFmtId="0" fontId="2" fillId="0" borderId="8" xfId="6" applyFont="1" applyFill="1" applyBorder="1" applyAlignment="1">
      <alignment horizontal="center" vertical="center"/>
    </xf>
    <xf numFmtId="0" fontId="81" fillId="0" borderId="1" xfId="0" applyFont="1" applyBorder="1" applyAlignment="1">
      <alignment horizontal="center" vertical="center" wrapText="1"/>
    </xf>
    <xf numFmtId="0" fontId="81" fillId="0" borderId="0" xfId="0" applyFont="1" applyFill="1" applyBorder="1" applyAlignment="1">
      <alignment horizontal="right" vertical="center" wrapText="1"/>
    </xf>
    <xf numFmtId="0" fontId="81" fillId="0" borderId="9" xfId="0" applyFont="1" applyBorder="1" applyAlignment="1">
      <alignment horizontal="center" vertical="center" wrapText="1"/>
    </xf>
    <xf numFmtId="0" fontId="81" fillId="0" borderId="0" xfId="0" applyFont="1" applyBorder="1" applyAlignment="1">
      <alignment vertical="center" wrapText="1"/>
    </xf>
    <xf numFmtId="0" fontId="5" fillId="0" borderId="0" xfId="6" applyFont="1" applyFill="1" applyBorder="1" applyAlignment="1">
      <alignment horizontal="center" vertical="center"/>
    </xf>
    <xf numFmtId="0" fontId="81" fillId="0" borderId="0" xfId="0" applyFont="1" applyFill="1" applyBorder="1" applyAlignment="1">
      <alignment horizontal="right" vertical="center" wrapText="1" indent="1"/>
    </xf>
    <xf numFmtId="0" fontId="5" fillId="0" borderId="0" xfId="6" applyFont="1" applyFill="1" applyBorder="1" applyAlignment="1">
      <alignment horizontal="right" vertical="center" indent="1"/>
    </xf>
    <xf numFmtId="0" fontId="90" fillId="0" borderId="0" xfId="5" applyFont="1" applyAlignment="1"/>
    <xf numFmtId="4" fontId="12" fillId="3" borderId="5" xfId="6" applyNumberFormat="1" applyFont="1" applyFill="1" applyBorder="1" applyAlignment="1">
      <alignment horizontal="center" vertical="center" wrapText="1"/>
    </xf>
    <xf numFmtId="0" fontId="86" fillId="0" borderId="0" xfId="0" applyFont="1" applyBorder="1" applyAlignment="1">
      <alignment horizontal="right"/>
    </xf>
    <xf numFmtId="4" fontId="85" fillId="3" borderId="1" xfId="0" applyNumberFormat="1" applyFont="1" applyFill="1" applyBorder="1" applyAlignment="1" applyProtection="1">
      <alignment horizontal="center" vertical="center" wrapText="1"/>
      <protection locked="0"/>
    </xf>
    <xf numFmtId="0" fontId="2" fillId="0" borderId="1" xfId="6" applyFont="1" applyFill="1" applyBorder="1" applyAlignment="1">
      <alignment horizontal="center" vertical="center"/>
    </xf>
    <xf numFmtId="16" fontId="83" fillId="0" borderId="0" xfId="0" applyNumberFormat="1" applyFont="1"/>
    <xf numFmtId="0" fontId="80" fillId="0" borderId="0" xfId="0" applyFont="1" applyProtection="1">
      <protection locked="0"/>
    </xf>
    <xf numFmtId="0" fontId="81" fillId="0" borderId="0" xfId="0" applyFont="1" applyProtection="1">
      <protection locked="0"/>
    </xf>
    <xf numFmtId="0" fontId="83" fillId="0" borderId="0" xfId="0" applyFont="1" applyAlignment="1" applyProtection="1">
      <protection locked="0"/>
    </xf>
    <xf numFmtId="0" fontId="2" fillId="0" borderId="0" xfId="6" applyFont="1" applyFill="1" applyBorder="1" applyAlignment="1" applyProtection="1">
      <alignment vertical="center"/>
      <protection locked="0"/>
    </xf>
    <xf numFmtId="0" fontId="89" fillId="0" borderId="0" xfId="6" applyFont="1" applyFill="1" applyBorder="1" applyAlignment="1" applyProtection="1">
      <alignment vertical="center"/>
      <protection locked="0"/>
    </xf>
    <xf numFmtId="0" fontId="83" fillId="0" borderId="0" xfId="0" applyFont="1" applyAlignment="1" applyProtection="1">
      <alignment vertical="center"/>
      <protection locked="0"/>
    </xf>
    <xf numFmtId="0" fontId="2" fillId="0" borderId="0" xfId="6" applyFont="1" applyFill="1" applyBorder="1" applyAlignment="1" applyProtection="1">
      <alignment vertical="center" wrapText="1"/>
      <protection locked="0"/>
    </xf>
    <xf numFmtId="0" fontId="2" fillId="0" borderId="0" xfId="6" applyFont="1" applyFill="1" applyBorder="1" applyAlignment="1" applyProtection="1">
      <alignment horizontal="center" vertical="center"/>
      <protection locked="0"/>
    </xf>
    <xf numFmtId="0" fontId="2" fillId="3" borderId="0" xfId="6" applyFont="1" applyFill="1" applyBorder="1" applyAlignment="1" applyProtection="1">
      <alignment vertical="center"/>
      <protection locked="0"/>
    </xf>
    <xf numFmtId="0" fontId="81" fillId="0" borderId="1" xfId="0" applyFont="1" applyBorder="1" applyAlignment="1" applyProtection="1">
      <alignment horizontal="center" vertical="center" wrapText="1"/>
      <protection locked="0"/>
    </xf>
    <xf numFmtId="0" fontId="12" fillId="3" borderId="5" xfId="6" applyNumberFormat="1" applyFont="1" applyFill="1" applyBorder="1" applyAlignment="1">
      <alignment horizontal="center" vertical="center"/>
    </xf>
    <xf numFmtId="1" fontId="12" fillId="3" borderId="2" xfId="6" applyNumberFormat="1" applyFont="1" applyFill="1" applyBorder="1" applyAlignment="1">
      <alignment horizontal="center" vertical="center"/>
    </xf>
    <xf numFmtId="3" fontId="85" fillId="3" borderId="1" xfId="0" applyNumberFormat="1" applyFont="1" applyFill="1" applyBorder="1" applyAlignment="1">
      <alignment horizontal="center" vertical="center" wrapText="1"/>
    </xf>
    <xf numFmtId="0" fontId="80" fillId="0" borderId="0" xfId="0" applyFont="1" applyAlignment="1" applyProtection="1">
      <alignment horizontal="center"/>
      <protection locked="0"/>
    </xf>
    <xf numFmtId="0" fontId="80" fillId="3" borderId="0" xfId="0" applyFont="1" applyFill="1" applyProtection="1">
      <protection locked="0"/>
    </xf>
    <xf numFmtId="4" fontId="2" fillId="0" borderId="0" xfId="6" applyNumberFormat="1" applyFont="1" applyFill="1" applyBorder="1" applyAlignment="1" applyProtection="1">
      <alignment vertical="center" wrapText="1"/>
      <protection locked="0"/>
    </xf>
    <xf numFmtId="0" fontId="2" fillId="3" borderId="0" xfId="6" applyFont="1" applyFill="1" applyBorder="1" applyAlignment="1" applyProtection="1">
      <alignment horizontal="center" vertical="center" wrapText="1"/>
      <protection locked="0"/>
    </xf>
    <xf numFmtId="0" fontId="89" fillId="0" borderId="0" xfId="6" applyFont="1" applyFill="1" applyBorder="1" applyAlignment="1" applyProtection="1">
      <alignment vertical="center" wrapText="1"/>
      <protection locked="0"/>
    </xf>
    <xf numFmtId="4" fontId="80" fillId="0" borderId="0" xfId="0" applyNumberFormat="1" applyFont="1" applyProtection="1">
      <protection locked="0"/>
    </xf>
    <xf numFmtId="0" fontId="82" fillId="0" borderId="0" xfId="0" applyFont="1" applyProtection="1">
      <protection locked="0"/>
    </xf>
    <xf numFmtId="4" fontId="82" fillId="3" borderId="0" xfId="0" applyNumberFormat="1" applyFont="1" applyFill="1" applyProtection="1">
      <protection locked="0"/>
    </xf>
    <xf numFmtId="4" fontId="88" fillId="0" borderId="0" xfId="0" applyNumberFormat="1" applyFont="1" applyProtection="1">
      <protection locked="0"/>
    </xf>
    <xf numFmtId="4" fontId="80" fillId="0" borderId="0" xfId="0" applyNumberFormat="1" applyFont="1" applyFill="1" applyProtection="1">
      <protection locked="0"/>
    </xf>
    <xf numFmtId="4" fontId="2" fillId="4" borderId="1" xfId="6" applyNumberFormat="1" applyFont="1" applyFill="1" applyBorder="1" applyAlignment="1" applyProtection="1">
      <alignment horizontal="center" vertical="center"/>
    </xf>
    <xf numFmtId="181" fontId="5" fillId="4" borderId="1" xfId="6" applyNumberFormat="1" applyFont="1" applyFill="1" applyBorder="1" applyAlignment="1" applyProtection="1">
      <alignment horizontal="right" vertical="center"/>
    </xf>
    <xf numFmtId="181" fontId="5" fillId="4" borderId="6" xfId="6" applyNumberFormat="1" applyFont="1" applyFill="1" applyBorder="1" applyAlignment="1" applyProtection="1">
      <alignment horizontal="right" vertical="center"/>
    </xf>
    <xf numFmtId="181" fontId="5" fillId="4" borderId="5" xfId="6" applyNumberFormat="1" applyFont="1" applyFill="1" applyBorder="1" applyAlignment="1" applyProtection="1">
      <alignment horizontal="right" vertical="center"/>
    </xf>
    <xf numFmtId="4" fontId="85" fillId="4" borderId="1" xfId="0" applyNumberFormat="1" applyFont="1" applyFill="1" applyBorder="1"/>
    <xf numFmtId="0" fontId="2" fillId="0" borderId="0" xfId="6" applyFont="1" applyFill="1" applyBorder="1" applyAlignment="1" applyProtection="1">
      <alignment vertical="center"/>
    </xf>
    <xf numFmtId="0" fontId="89" fillId="0" borderId="0" xfId="6" applyFont="1" applyFill="1" applyBorder="1" applyAlignment="1" applyProtection="1">
      <alignment vertical="center"/>
    </xf>
    <xf numFmtId="0" fontId="2" fillId="3" borderId="0" xfId="6" applyFont="1" applyFill="1" applyBorder="1" applyAlignment="1" applyProtection="1">
      <alignment vertical="center" wrapText="1"/>
      <protection locked="0"/>
    </xf>
    <xf numFmtId="0" fontId="12" fillId="0" borderId="0" xfId="6" applyFont="1" applyFill="1" applyBorder="1" applyAlignment="1" applyProtection="1">
      <alignment vertical="center"/>
      <protection locked="0"/>
    </xf>
    <xf numFmtId="0" fontId="12" fillId="0" borderId="0" xfId="6" applyFont="1" applyFill="1" applyBorder="1" applyAlignment="1" applyProtection="1">
      <alignment horizontal="left" vertical="center"/>
      <protection locked="0"/>
    </xf>
    <xf numFmtId="0" fontId="2" fillId="0" borderId="0" xfId="6" applyFont="1" applyFill="1" applyBorder="1" applyAlignment="1" applyProtection="1">
      <alignment horizontal="left" vertical="center"/>
      <protection locked="0"/>
    </xf>
    <xf numFmtId="0" fontId="89" fillId="3" borderId="0" xfId="6" applyFont="1" applyFill="1" applyBorder="1" applyAlignment="1" applyProtection="1">
      <alignment vertical="center"/>
      <protection locked="0"/>
    </xf>
    <xf numFmtId="0" fontId="12" fillId="0" borderId="0" xfId="6" applyFont="1" applyFill="1" applyBorder="1" applyAlignment="1" applyProtection="1">
      <alignment vertical="center"/>
    </xf>
    <xf numFmtId="0" fontId="2" fillId="0" borderId="0" xfId="6" applyFont="1" applyFill="1" applyBorder="1" applyAlignment="1" applyProtection="1">
      <alignment horizontal="left" vertical="center"/>
    </xf>
    <xf numFmtId="0" fontId="2" fillId="0" borderId="0" xfId="6" applyFont="1" applyFill="1" applyBorder="1" applyAlignment="1" applyProtection="1">
      <alignment horizontal="center" vertical="center"/>
    </xf>
    <xf numFmtId="0" fontId="2" fillId="3" borderId="0" xfId="6" applyFont="1" applyFill="1" applyBorder="1" applyAlignment="1" applyProtection="1">
      <alignment vertical="center"/>
    </xf>
    <xf numFmtId="0" fontId="2" fillId="3" borderId="0" xfId="6" applyFont="1" applyFill="1" applyBorder="1" applyAlignment="1" applyProtection="1">
      <alignment vertical="center" wrapText="1"/>
    </xf>
    <xf numFmtId="0" fontId="2" fillId="0" borderId="0" xfId="6" applyFont="1" applyFill="1" applyBorder="1" applyAlignment="1" applyProtection="1">
      <alignment vertical="center" wrapText="1"/>
    </xf>
    <xf numFmtId="0" fontId="0" fillId="0" borderId="0" xfId="0" applyBorder="1"/>
    <xf numFmtId="4" fontId="85" fillId="3" borderId="1" xfId="0" applyNumberFormat="1" applyFont="1" applyFill="1" applyBorder="1" applyProtection="1">
      <protection locked="0"/>
    </xf>
    <xf numFmtId="4" fontId="85" fillId="3" borderId="5" xfId="0" applyNumberFormat="1" applyFont="1" applyFill="1" applyBorder="1" applyProtection="1">
      <protection locked="0"/>
    </xf>
    <xf numFmtId="4" fontId="91" fillId="5" borderId="1" xfId="0" applyNumberFormat="1" applyFont="1" applyFill="1" applyBorder="1"/>
    <xf numFmtId="4" fontId="81" fillId="0" borderId="1" xfId="0" applyNumberFormat="1" applyFont="1" applyBorder="1" applyProtection="1">
      <protection locked="0"/>
    </xf>
    <xf numFmtId="49" fontId="12" fillId="3" borderId="1" xfId="6" applyNumberFormat="1" applyFont="1" applyFill="1" applyBorder="1" applyAlignment="1">
      <alignment horizontal="center" vertical="center"/>
    </xf>
    <xf numFmtId="0" fontId="85" fillId="3" borderId="1" xfId="0" applyFont="1" applyFill="1" applyBorder="1" applyAlignment="1">
      <alignment horizontal="left"/>
    </xf>
    <xf numFmtId="0" fontId="85" fillId="3" borderId="1" xfId="0" applyFont="1" applyFill="1" applyBorder="1" applyAlignment="1">
      <alignment horizontal="center"/>
    </xf>
    <xf numFmtId="0" fontId="81" fillId="3" borderId="1" xfId="0" applyFont="1" applyFill="1" applyBorder="1" applyAlignment="1">
      <alignment horizontal="right" vertical="center" wrapText="1"/>
    </xf>
    <xf numFmtId="0" fontId="81" fillId="3" borderId="1" xfId="0" applyFont="1" applyFill="1" applyBorder="1" applyAlignment="1" applyProtection="1">
      <alignment vertical="center" wrapText="1"/>
      <protection locked="0"/>
    </xf>
    <xf numFmtId="0" fontId="86" fillId="3" borderId="0" xfId="0" applyFont="1" applyFill="1" applyAlignment="1">
      <alignment horizontal="right"/>
    </xf>
    <xf numFmtId="0" fontId="81" fillId="3" borderId="0" xfId="0" applyFont="1" applyFill="1" applyProtection="1">
      <protection locked="0"/>
    </xf>
    <xf numFmtId="4" fontId="81" fillId="3" borderId="1" xfId="0" applyNumberFormat="1" applyFont="1" applyFill="1" applyBorder="1" applyProtection="1">
      <protection locked="0"/>
    </xf>
    <xf numFmtId="0" fontId="85" fillId="6" borderId="2" xfId="0" applyFont="1" applyFill="1" applyBorder="1" applyAlignment="1">
      <alignment horizontal="left"/>
    </xf>
    <xf numFmtId="0" fontId="6" fillId="6" borderId="1" xfId="6" applyFont="1" applyFill="1" applyBorder="1" applyAlignment="1">
      <alignment vertical="center" wrapText="1"/>
    </xf>
    <xf numFmtId="0" fontId="80" fillId="3" borderId="0" xfId="0" applyFont="1" applyFill="1" applyBorder="1"/>
    <xf numFmtId="0" fontId="12" fillId="0" borderId="2" xfId="6" applyFont="1" applyFill="1" applyBorder="1" applyAlignment="1">
      <alignment horizontal="center" vertical="center"/>
    </xf>
    <xf numFmtId="0" fontId="2" fillId="0" borderId="1" xfId="6" applyFont="1" applyFill="1" applyBorder="1" applyAlignment="1" applyProtection="1">
      <alignment horizontal="center" vertical="center" wrapText="1"/>
      <protection locked="0"/>
    </xf>
    <xf numFmtId="182" fontId="6" fillId="3" borderId="0" xfId="6" applyNumberFormat="1" applyFont="1" applyFill="1" applyBorder="1" applyAlignment="1">
      <alignment horizontal="center" vertical="center"/>
    </xf>
    <xf numFmtId="182" fontId="8" fillId="3" borderId="0" xfId="6" quotePrefix="1" applyNumberFormat="1" applyFont="1" applyFill="1" applyBorder="1" applyAlignment="1" applyProtection="1">
      <alignment horizontal="center" vertical="center"/>
      <protection locked="0"/>
    </xf>
    <xf numFmtId="0" fontId="2" fillId="3" borderId="0" xfId="6" applyFont="1" applyFill="1" applyBorder="1" applyAlignment="1">
      <alignment horizontal="center" vertical="center"/>
    </xf>
    <xf numFmtId="0" fontId="89" fillId="3" borderId="0" xfId="6" applyFont="1" applyFill="1" applyBorder="1" applyAlignment="1">
      <alignment vertical="center"/>
    </xf>
    <xf numFmtId="0" fontId="5" fillId="0" borderId="0" xfId="6" applyFont="1" applyFill="1" applyBorder="1" applyAlignment="1" applyProtection="1">
      <alignment vertical="center"/>
      <protection locked="0"/>
    </xf>
    <xf numFmtId="0" fontId="5" fillId="3" borderId="0" xfId="6" applyFont="1" applyFill="1" applyBorder="1" applyAlignment="1" applyProtection="1">
      <alignment vertical="center"/>
      <protection locked="0"/>
    </xf>
    <xf numFmtId="0" fontId="5" fillId="3" borderId="0" xfId="6" applyFont="1" applyFill="1" applyBorder="1" applyAlignment="1">
      <alignment vertical="center"/>
    </xf>
    <xf numFmtId="0" fontId="81" fillId="0" borderId="1" xfId="0" applyFont="1" applyBorder="1" applyAlignment="1">
      <alignment horizontal="center" vertical="center" wrapText="1"/>
    </xf>
    <xf numFmtId="0" fontId="5" fillId="0" borderId="0" xfId="6" applyFont="1" applyFill="1" applyBorder="1" applyAlignment="1">
      <alignment horizontal="right" vertical="center"/>
    </xf>
    <xf numFmtId="0" fontId="17" fillId="3" borderId="2" xfId="6" applyFont="1" applyFill="1" applyBorder="1" applyAlignment="1">
      <alignment horizontal="center" vertical="center"/>
    </xf>
    <xf numFmtId="3" fontId="80" fillId="3" borderId="1" xfId="0" applyNumberFormat="1" applyFont="1" applyFill="1" applyBorder="1" applyAlignment="1">
      <alignment horizontal="center" vertical="center" wrapText="1"/>
    </xf>
    <xf numFmtId="0" fontId="17" fillId="3" borderId="5" xfId="6" applyFont="1" applyFill="1" applyBorder="1" applyAlignment="1">
      <alignment horizontal="center" vertical="center"/>
    </xf>
    <xf numFmtId="0" fontId="81" fillId="0" borderId="0" xfId="0" applyFont="1" applyFill="1" applyBorder="1" applyAlignment="1">
      <alignment vertical="center" wrapText="1"/>
    </xf>
    <xf numFmtId="0" fontId="5" fillId="0" borderId="0" xfId="6" applyFont="1" applyFill="1" applyBorder="1" applyAlignment="1">
      <alignment vertical="center"/>
    </xf>
    <xf numFmtId="4" fontId="2" fillId="3" borderId="10" xfId="6" applyNumberFormat="1" applyFont="1" applyFill="1" applyBorder="1" applyAlignment="1" applyProtection="1">
      <alignment horizontal="center" vertical="center" wrapText="1"/>
    </xf>
    <xf numFmtId="0" fontId="86" fillId="0" borderId="0" xfId="0" applyFont="1" applyBorder="1" applyAlignment="1">
      <alignment horizontal="right" vertical="center"/>
    </xf>
    <xf numFmtId="183" fontId="92" fillId="3" borderId="0" xfId="6" applyNumberFormat="1" applyFont="1" applyFill="1" applyBorder="1" applyAlignment="1" applyProtection="1">
      <alignment vertical="center"/>
      <protection locked="0"/>
    </xf>
    <xf numFmtId="4" fontId="6" fillId="3" borderId="0" xfId="6" applyNumberFormat="1" applyFont="1" applyFill="1" applyBorder="1" applyAlignment="1" applyProtection="1">
      <alignment horizontal="center" vertical="center"/>
      <protection locked="0"/>
    </xf>
    <xf numFmtId="4" fontId="6" fillId="3" borderId="0" xfId="6" applyNumberFormat="1" applyFont="1" applyFill="1" applyBorder="1" applyAlignment="1">
      <alignment horizontal="center" vertical="center"/>
    </xf>
    <xf numFmtId="0" fontId="8" fillId="3" borderId="11" xfId="6" applyFont="1" applyFill="1" applyBorder="1" applyAlignment="1">
      <alignment horizontal="center" vertical="center" wrapText="1"/>
    </xf>
    <xf numFmtId="0" fontId="8" fillId="3" borderId="12" xfId="6" applyFont="1" applyFill="1" applyBorder="1" applyAlignment="1">
      <alignment horizontal="center" vertical="center" wrapText="1"/>
    </xf>
    <xf numFmtId="0" fontId="85" fillId="0" borderId="5" xfId="0" applyFont="1" applyBorder="1" applyAlignment="1">
      <alignment horizontal="center" vertical="center" wrapText="1"/>
    </xf>
    <xf numFmtId="4" fontId="85" fillId="6" borderId="1" xfId="0" applyNumberFormat="1" applyFont="1" applyFill="1" applyBorder="1"/>
    <xf numFmtId="181" fontId="5" fillId="3" borderId="0" xfId="6" applyNumberFormat="1" applyFont="1" applyFill="1" applyBorder="1" applyAlignment="1" applyProtection="1">
      <alignment horizontal="right" vertical="center"/>
    </xf>
    <xf numFmtId="3" fontId="2" fillId="3" borderId="0" xfId="6" applyNumberFormat="1" applyFont="1" applyFill="1" applyBorder="1" applyAlignment="1">
      <alignment horizontal="center" vertical="center" wrapText="1"/>
    </xf>
    <xf numFmtId="4" fontId="83" fillId="3" borderId="0" xfId="0" applyNumberFormat="1" applyFont="1" applyFill="1" applyBorder="1"/>
    <xf numFmtId="4" fontId="85" fillId="3" borderId="0" xfId="0" applyNumberFormat="1" applyFont="1" applyFill="1" applyBorder="1" applyProtection="1">
      <protection locked="0"/>
    </xf>
    <xf numFmtId="4" fontId="85" fillId="3" borderId="0" xfId="0" applyNumberFormat="1" applyFont="1" applyFill="1" applyBorder="1" applyAlignment="1">
      <alignment horizontal="center"/>
    </xf>
    <xf numFmtId="4" fontId="85" fillId="3" borderId="0" xfId="0" applyNumberFormat="1" applyFont="1" applyFill="1" applyBorder="1" applyAlignment="1" applyProtection="1">
      <alignment horizontal="center"/>
      <protection locked="0"/>
    </xf>
    <xf numFmtId="4" fontId="83" fillId="3" borderId="0" xfId="0" applyNumberFormat="1" applyFont="1" applyFill="1" applyBorder="1" applyProtection="1">
      <protection locked="0"/>
    </xf>
    <xf numFmtId="4" fontId="83" fillId="3" borderId="0" xfId="0" applyNumberFormat="1" applyFont="1" applyFill="1" applyBorder="1" applyAlignment="1">
      <alignment horizontal="center"/>
    </xf>
    <xf numFmtId="0" fontId="2" fillId="3" borderId="0" xfId="6" applyFont="1" applyFill="1" applyBorder="1" applyAlignment="1">
      <alignment horizontal="center" vertical="center" wrapText="1"/>
    </xf>
    <xf numFmtId="4" fontId="5" fillId="3" borderId="0" xfId="6" applyNumberFormat="1" applyFont="1" applyFill="1" applyBorder="1" applyAlignment="1">
      <alignment horizontal="center" vertical="center" wrapText="1"/>
    </xf>
    <xf numFmtId="4" fontId="2" fillId="3" borderId="0" xfId="6" applyNumberFormat="1" applyFont="1" applyFill="1" applyBorder="1" applyAlignment="1">
      <alignment horizontal="right" vertical="center" indent="1"/>
    </xf>
    <xf numFmtId="181" fontId="86" fillId="3" borderId="0" xfId="0" applyNumberFormat="1" applyFont="1" applyFill="1" applyBorder="1"/>
    <xf numFmtId="181" fontId="86" fillId="3" borderId="0" xfId="0" applyNumberFormat="1" applyFont="1" applyFill="1" applyBorder="1" applyAlignment="1">
      <alignment horizontal="center"/>
    </xf>
    <xf numFmtId="181" fontId="5" fillId="4" borderId="1" xfId="6" applyNumberFormat="1" applyFont="1" applyFill="1" applyBorder="1" applyAlignment="1" applyProtection="1">
      <alignment horizontal="center" vertical="center"/>
    </xf>
    <xf numFmtId="0" fontId="83" fillId="0" borderId="0" xfId="0" applyFont="1" applyAlignment="1">
      <alignment horizontal="center" vertical="center"/>
    </xf>
    <xf numFmtId="0" fontId="81" fillId="0" borderId="0" xfId="0" applyFont="1" applyFill="1" applyBorder="1" applyAlignment="1">
      <alignment horizontal="center" vertical="center" wrapText="1"/>
    </xf>
    <xf numFmtId="0" fontId="2" fillId="0" borderId="1" xfId="6" applyFont="1" applyFill="1" applyBorder="1" applyAlignment="1">
      <alignment horizontal="center" vertical="center" wrapText="1"/>
    </xf>
    <xf numFmtId="182" fontId="85" fillId="0" borderId="0" xfId="0" applyNumberFormat="1" applyFont="1" applyFill="1" applyBorder="1" applyProtection="1">
      <protection locked="0"/>
    </xf>
    <xf numFmtId="0" fontId="80" fillId="0" borderId="0" xfId="0" applyFont="1" applyBorder="1" applyProtection="1">
      <protection locked="0"/>
    </xf>
    <xf numFmtId="0" fontId="17" fillId="0" borderId="0" xfId="0" applyFont="1" applyFill="1" applyBorder="1"/>
    <xf numFmtId="0" fontId="80" fillId="0" borderId="0" xfId="0" applyFont="1" applyFill="1" applyBorder="1" applyProtection="1">
      <protection locked="0"/>
    </xf>
    <xf numFmtId="0" fontId="17" fillId="3" borderId="0" xfId="0" applyFont="1" applyFill="1" applyBorder="1" applyProtection="1">
      <protection locked="0"/>
    </xf>
    <xf numFmtId="0" fontId="80" fillId="3" borderId="0" xfId="0" applyFont="1" applyFill="1" applyBorder="1" applyProtection="1">
      <protection locked="0"/>
    </xf>
    <xf numFmtId="0" fontId="93" fillId="0" borderId="0" xfId="6" applyFont="1" applyFill="1" applyBorder="1" applyAlignment="1">
      <alignment vertical="center"/>
    </xf>
    <xf numFmtId="182" fontId="85" fillId="0" borderId="0" xfId="0" applyNumberFormat="1" applyFont="1" applyFill="1" applyBorder="1" applyProtection="1"/>
    <xf numFmtId="0" fontId="94" fillId="0" borderId="0" xfId="6" applyFont="1" applyFill="1" applyBorder="1" applyAlignment="1">
      <alignment horizontal="left" vertical="center" wrapText="1"/>
    </xf>
    <xf numFmtId="4" fontId="92" fillId="0" borderId="0" xfId="6" applyNumberFormat="1" applyFont="1" applyFill="1" applyBorder="1" applyAlignment="1" applyProtection="1">
      <alignment horizontal="center" vertical="center"/>
      <protection locked="0"/>
    </xf>
    <xf numFmtId="0" fontId="91" fillId="0" borderId="0" xfId="0" applyFont="1" applyFill="1" applyBorder="1" applyAlignment="1" applyProtection="1">
      <alignment wrapText="1"/>
      <protection locked="0"/>
    </xf>
    <xf numFmtId="182" fontId="80" fillId="0" borderId="0" xfId="0" applyNumberFormat="1" applyFont="1" applyFill="1" applyBorder="1" applyProtection="1">
      <protection locked="0"/>
    </xf>
    <xf numFmtId="182" fontId="85" fillId="3" borderId="0" xfId="0" applyNumberFormat="1" applyFont="1" applyFill="1" applyBorder="1" applyProtection="1">
      <protection locked="0"/>
    </xf>
    <xf numFmtId="0" fontId="94" fillId="3" borderId="0" xfId="6" applyFont="1" applyFill="1" applyBorder="1" applyAlignment="1">
      <alignment vertical="center" wrapText="1"/>
    </xf>
    <xf numFmtId="4" fontId="2" fillId="4" borderId="13" xfId="6" applyNumberFormat="1" applyFont="1" applyFill="1" applyBorder="1" applyAlignment="1">
      <alignment horizontal="center" vertical="center" wrapText="1"/>
    </xf>
    <xf numFmtId="181" fontId="2" fillId="4" borderId="13" xfId="6" applyNumberFormat="1" applyFont="1" applyFill="1" applyBorder="1" applyAlignment="1" applyProtection="1">
      <alignment horizontal="right" vertical="center"/>
    </xf>
    <xf numFmtId="4" fontId="6" fillId="4" borderId="3" xfId="6" applyNumberFormat="1" applyFont="1" applyFill="1" applyBorder="1" applyAlignment="1">
      <alignment horizontal="center" vertical="center"/>
    </xf>
    <xf numFmtId="181" fontId="5" fillId="4" borderId="3" xfId="6" applyNumberFormat="1" applyFont="1" applyFill="1" applyBorder="1" applyAlignment="1" applyProtection="1">
      <alignment horizontal="right" vertical="center"/>
    </xf>
    <xf numFmtId="181" fontId="5" fillId="4" borderId="4" xfId="6" applyNumberFormat="1" applyFont="1" applyFill="1" applyBorder="1" applyAlignment="1" applyProtection="1">
      <alignment horizontal="right" vertical="center"/>
    </xf>
    <xf numFmtId="181" fontId="5" fillId="4" borderId="5" xfId="6" applyNumberFormat="1" applyFont="1" applyFill="1" applyBorder="1" applyAlignment="1" applyProtection="1">
      <alignment horizontal="center" vertical="center"/>
    </xf>
    <xf numFmtId="4" fontId="2" fillId="0" borderId="6" xfId="6" applyNumberFormat="1" applyFont="1" applyFill="1" applyBorder="1" applyAlignment="1" applyProtection="1">
      <alignment horizontal="center" vertical="center"/>
      <protection locked="0"/>
    </xf>
    <xf numFmtId="181" fontId="5" fillId="4" borderId="6" xfId="6" applyNumberFormat="1" applyFont="1" applyFill="1" applyBorder="1" applyAlignment="1" applyProtection="1">
      <alignment horizontal="center" vertical="center"/>
    </xf>
    <xf numFmtId="181" fontId="5" fillId="6" borderId="3" xfId="6" applyNumberFormat="1" applyFont="1" applyFill="1" applyBorder="1" applyAlignment="1" applyProtection="1">
      <alignment horizontal="center" vertical="center"/>
    </xf>
    <xf numFmtId="49" fontId="2" fillId="3" borderId="14" xfId="6" applyNumberFormat="1" applyFont="1" applyFill="1" applyBorder="1" applyAlignment="1">
      <alignment horizontal="left" vertical="center"/>
    </xf>
    <xf numFmtId="4" fontId="83" fillId="6" borderId="1" xfId="0" applyNumberFormat="1" applyFont="1" applyFill="1" applyBorder="1" applyAlignment="1">
      <alignment horizontal="center"/>
    </xf>
    <xf numFmtId="4" fontId="85" fillId="6" borderId="1" xfId="0" quotePrefix="1" applyNumberFormat="1" applyFont="1" applyFill="1" applyBorder="1" applyAlignment="1">
      <alignment horizontal="center"/>
    </xf>
    <xf numFmtId="4" fontId="85" fillId="6" borderId="1" xfId="0" applyNumberFormat="1" applyFont="1" applyFill="1" applyBorder="1" applyAlignment="1">
      <alignment horizontal="center"/>
    </xf>
    <xf numFmtId="4" fontId="85" fillId="0" borderId="13" xfId="0" applyNumberFormat="1" applyFont="1" applyBorder="1" applyProtection="1">
      <protection locked="0"/>
    </xf>
    <xf numFmtId="16" fontId="22" fillId="3" borderId="15" xfId="6" applyNumberFormat="1" applyFont="1" applyFill="1" applyBorder="1" applyAlignment="1">
      <alignment horizontal="left" wrapText="1" indent="2"/>
    </xf>
    <xf numFmtId="4" fontId="83" fillId="6" borderId="3" xfId="0" applyNumberFormat="1" applyFont="1" applyFill="1" applyBorder="1"/>
    <xf numFmtId="4" fontId="83" fillId="6" borderId="4" xfId="0" applyNumberFormat="1" applyFont="1" applyFill="1" applyBorder="1"/>
    <xf numFmtId="4" fontId="83" fillId="6" borderId="6" xfId="0" applyNumberFormat="1" applyFont="1" applyFill="1" applyBorder="1"/>
    <xf numFmtId="4" fontId="2" fillId="0" borderId="6" xfId="0" applyNumberFormat="1" applyFont="1" applyBorder="1" applyProtection="1">
      <protection locked="0"/>
    </xf>
    <xf numFmtId="16" fontId="12" fillId="3" borderId="2" xfId="6" applyNumberFormat="1" applyFont="1" applyFill="1" applyBorder="1" applyAlignment="1">
      <alignment horizontal="left" vertical="center" indent="2"/>
    </xf>
    <xf numFmtId="16" fontId="12" fillId="3" borderId="8" xfId="6" applyNumberFormat="1" applyFont="1" applyFill="1" applyBorder="1" applyAlignment="1">
      <alignment horizontal="left" vertical="center" indent="2"/>
    </xf>
    <xf numFmtId="4" fontId="85" fillId="6" borderId="6" xfId="0" applyNumberFormat="1" applyFont="1" applyFill="1" applyBorder="1" applyAlignment="1">
      <alignment horizontal="center"/>
    </xf>
    <xf numFmtId="16" fontId="12" fillId="3" borderId="16" xfId="6" applyNumberFormat="1" applyFont="1" applyFill="1" applyBorder="1" applyAlignment="1">
      <alignment horizontal="left" vertical="center" indent="2"/>
    </xf>
    <xf numFmtId="4" fontId="83" fillId="3" borderId="17" xfId="0" applyNumberFormat="1" applyFont="1" applyFill="1" applyBorder="1" applyProtection="1">
      <protection locked="0"/>
    </xf>
    <xf numFmtId="4" fontId="85" fillId="6" borderId="17" xfId="0" applyNumberFormat="1" applyFont="1" applyFill="1" applyBorder="1" applyAlignment="1">
      <alignment horizontal="center"/>
    </xf>
    <xf numFmtId="4" fontId="85" fillId="6" borderId="18" xfId="0" applyNumberFormat="1" applyFont="1" applyFill="1" applyBorder="1" applyAlignment="1">
      <alignment horizontal="center"/>
    </xf>
    <xf numFmtId="4" fontId="83" fillId="6" borderId="5" xfId="0" applyNumberFormat="1" applyFont="1" applyFill="1" applyBorder="1" applyAlignment="1">
      <alignment horizontal="center"/>
    </xf>
    <xf numFmtId="4" fontId="83" fillId="6" borderId="5" xfId="0" applyNumberFormat="1" applyFont="1" applyFill="1" applyBorder="1"/>
    <xf numFmtId="0" fontId="83" fillId="0" borderId="3" xfId="0" applyFont="1" applyFill="1" applyBorder="1" applyAlignment="1">
      <alignment horizontal="center"/>
    </xf>
    <xf numFmtId="0" fontId="85" fillId="4" borderId="6" xfId="0" applyFont="1" applyFill="1" applyBorder="1" applyAlignment="1">
      <alignment horizontal="center"/>
    </xf>
    <xf numFmtId="0" fontId="85" fillId="3" borderId="6" xfId="0" applyFont="1" applyFill="1" applyBorder="1" applyAlignment="1">
      <alignment horizontal="center"/>
    </xf>
    <xf numFmtId="0" fontId="83" fillId="0" borderId="17" xfId="0" applyFont="1" applyFill="1" applyBorder="1" applyAlignment="1">
      <alignment horizontal="center"/>
    </xf>
    <xf numFmtId="0" fontId="83" fillId="7" borderId="17" xfId="0" applyFont="1" applyFill="1" applyBorder="1" applyAlignment="1">
      <alignment horizontal="center"/>
    </xf>
    <xf numFmtId="0" fontId="95" fillId="0" borderId="3" xfId="0" applyFont="1" applyBorder="1" applyAlignment="1">
      <alignment horizontal="center" vertical="center" wrapText="1"/>
    </xf>
    <xf numFmtId="0" fontId="80" fillId="0" borderId="3" xfId="0" applyFont="1" applyBorder="1"/>
    <xf numFmtId="0" fontId="83" fillId="0" borderId="3" xfId="0" applyFont="1" applyBorder="1" applyAlignment="1">
      <alignment wrapText="1"/>
    </xf>
    <xf numFmtId="0" fontId="85" fillId="0" borderId="19" xfId="0" applyFont="1" applyBorder="1" applyAlignment="1">
      <alignment horizontal="center"/>
    </xf>
    <xf numFmtId="0" fontId="83" fillId="7" borderId="20" xfId="0" applyFont="1" applyFill="1" applyBorder="1" applyAlignment="1">
      <alignment horizontal="center"/>
    </xf>
    <xf numFmtId="0" fontId="5" fillId="3" borderId="0" xfId="6" applyFont="1" applyFill="1" applyBorder="1" applyAlignment="1">
      <alignment horizontal="right" vertical="center"/>
    </xf>
    <xf numFmtId="0" fontId="85" fillId="0" borderId="0" xfId="0" applyFont="1" applyFill="1" applyBorder="1" applyAlignment="1">
      <alignment horizontal="center"/>
    </xf>
    <xf numFmtId="0" fontId="6" fillId="0" borderId="0" xfId="6" applyFont="1" applyFill="1" applyBorder="1" applyAlignment="1">
      <alignment vertical="center"/>
    </xf>
    <xf numFmtId="182" fontId="83" fillId="3" borderId="0" xfId="0" applyNumberFormat="1" applyFont="1" applyFill="1" applyBorder="1" applyProtection="1">
      <protection locked="0"/>
    </xf>
    <xf numFmtId="0" fontId="6" fillId="3" borderId="0" xfId="6" applyFont="1" applyFill="1" applyBorder="1" applyAlignment="1">
      <alignment vertical="center"/>
    </xf>
    <xf numFmtId="0" fontId="17" fillId="3" borderId="0" xfId="0" applyFont="1" applyFill="1"/>
    <xf numFmtId="0" fontId="86" fillId="0" borderId="0" xfId="0" applyFont="1"/>
    <xf numFmtId="0" fontId="81" fillId="0" borderId="0" xfId="0" applyFont="1" applyFill="1" applyBorder="1" applyAlignment="1">
      <alignment horizontal="right" vertical="center" wrapText="1"/>
    </xf>
    <xf numFmtId="0" fontId="96" fillId="0" borderId="0" xfId="0" applyFont="1" applyBorder="1" applyAlignment="1">
      <alignment horizontal="left" vertical="center" wrapText="1"/>
    </xf>
    <xf numFmtId="0" fontId="96" fillId="0" borderId="0" xfId="0" applyFont="1" applyBorder="1" applyAlignment="1" applyProtection="1">
      <alignment horizontal="center" vertical="center" wrapText="1"/>
      <protection locked="0"/>
    </xf>
    <xf numFmtId="0" fontId="6" fillId="0" borderId="2" xfId="6" applyFont="1" applyFill="1" applyBorder="1" applyAlignment="1">
      <alignment vertical="center"/>
    </xf>
    <xf numFmtId="182" fontId="80" fillId="3" borderId="0" xfId="0" applyNumberFormat="1" applyFont="1" applyFill="1" applyBorder="1" applyAlignment="1" applyProtection="1">
      <alignment horizontal="center" vertical="center" wrapText="1"/>
      <protection locked="0"/>
    </xf>
    <xf numFmtId="0" fontId="6" fillId="3" borderId="0" xfId="6" applyFont="1" applyFill="1" applyBorder="1" applyAlignment="1">
      <alignment horizontal="center" vertical="center"/>
    </xf>
    <xf numFmtId="49" fontId="2" fillId="3" borderId="21" xfId="6" applyNumberFormat="1" applyFont="1" applyFill="1" applyBorder="1" applyAlignment="1">
      <alignment horizontal="center" vertical="center"/>
    </xf>
    <xf numFmtId="3" fontId="2" fillId="0" borderId="11" xfId="6" applyNumberFormat="1" applyFont="1" applyFill="1" applyBorder="1" applyAlignment="1">
      <alignment horizontal="center" vertical="center" wrapText="1"/>
    </xf>
    <xf numFmtId="3" fontId="2" fillId="0" borderId="12" xfId="6" applyNumberFormat="1" applyFont="1" applyFill="1" applyBorder="1" applyAlignment="1">
      <alignment horizontal="center" vertical="center" wrapText="1"/>
    </xf>
    <xf numFmtId="0" fontId="5" fillId="3" borderId="0" xfId="6" applyFont="1" applyFill="1" applyBorder="1" applyAlignment="1" applyProtection="1">
      <alignment horizontal="left" vertical="top"/>
      <protection locked="0"/>
    </xf>
    <xf numFmtId="4" fontId="85" fillId="3" borderId="0" xfId="0" applyNumberFormat="1" applyFont="1" applyFill="1" applyBorder="1" applyAlignment="1">
      <alignment horizontal="right"/>
    </xf>
    <xf numFmtId="4" fontId="85" fillId="3" borderId="0" xfId="0" applyNumberFormat="1" applyFont="1" applyFill="1" applyBorder="1" applyAlignment="1" applyProtection="1">
      <alignment horizontal="right"/>
      <protection locked="0"/>
    </xf>
    <xf numFmtId="181" fontId="5" fillId="6" borderId="1" xfId="6" applyNumberFormat="1" applyFont="1" applyFill="1" applyBorder="1" applyAlignment="1" applyProtection="1">
      <alignment horizontal="center" vertical="center"/>
    </xf>
    <xf numFmtId="181" fontId="5" fillId="6" borderId="5" xfId="6" applyNumberFormat="1" applyFont="1" applyFill="1" applyBorder="1" applyAlignment="1" applyProtection="1">
      <alignment horizontal="center" vertical="center"/>
    </xf>
    <xf numFmtId="4" fontId="85" fillId="0" borderId="1" xfId="6" applyNumberFormat="1" applyFont="1" applyFill="1" applyBorder="1" applyAlignment="1" applyProtection="1">
      <alignment horizontal="center" vertical="center"/>
      <protection locked="0"/>
    </xf>
    <xf numFmtId="4" fontId="6" fillId="6" borderId="3" xfId="6" applyNumberFormat="1" applyFont="1" applyFill="1" applyBorder="1" applyAlignment="1" applyProtection="1">
      <alignment horizontal="center" vertical="center"/>
    </xf>
    <xf numFmtId="0" fontId="81" fillId="0" borderId="1" xfId="0" applyFont="1" applyBorder="1" applyAlignment="1" applyProtection="1">
      <alignment vertical="center" wrapText="1"/>
      <protection locked="0"/>
    </xf>
    <xf numFmtId="180" fontId="97" fillId="0" borderId="2" xfId="0" applyNumberFormat="1" applyFont="1" applyFill="1" applyBorder="1" applyAlignment="1" applyProtection="1">
      <alignment horizontal="center"/>
    </xf>
    <xf numFmtId="180" fontId="97" fillId="0" borderId="1" xfId="0" applyNumberFormat="1" applyFont="1" applyFill="1" applyBorder="1" applyAlignment="1" applyProtection="1">
      <alignment horizontal="center"/>
    </xf>
    <xf numFmtId="182" fontId="86" fillId="3" borderId="0" xfId="0" applyNumberFormat="1" applyFont="1" applyFill="1" applyBorder="1" applyAlignment="1" applyProtection="1"/>
    <xf numFmtId="0" fontId="80" fillId="3" borderId="0" xfId="0" applyFont="1" applyFill="1" applyBorder="1" applyProtection="1"/>
    <xf numFmtId="182" fontId="86" fillId="3" borderId="0" xfId="0" applyNumberFormat="1" applyFont="1" applyFill="1" applyBorder="1" applyAlignment="1" applyProtection="1">
      <alignment horizontal="right"/>
    </xf>
    <xf numFmtId="182" fontId="85" fillId="3" borderId="0" xfId="0" applyNumberFormat="1" applyFont="1" applyFill="1" applyBorder="1" applyProtection="1"/>
    <xf numFmtId="0" fontId="0" fillId="0" borderId="0" xfId="0" applyAlignment="1">
      <alignment wrapText="1"/>
    </xf>
    <xf numFmtId="0" fontId="0" fillId="0" borderId="0" xfId="0" applyBorder="1" applyAlignment="1">
      <alignment wrapText="1"/>
    </xf>
    <xf numFmtId="0" fontId="0" fillId="3" borderId="0" xfId="0" applyFill="1" applyBorder="1" applyAlignment="1">
      <alignment wrapText="1"/>
    </xf>
    <xf numFmtId="4" fontId="8" fillId="3" borderId="0" xfId="6" applyNumberFormat="1" applyFont="1" applyFill="1" applyBorder="1" applyAlignment="1" applyProtection="1">
      <alignment horizontal="center" vertical="center" wrapText="1"/>
    </xf>
    <xf numFmtId="4" fontId="2" fillId="3" borderId="22" xfId="6" applyNumberFormat="1" applyFont="1" applyFill="1" applyBorder="1" applyAlignment="1" applyProtection="1">
      <alignment horizontal="center" vertical="center" wrapText="1"/>
    </xf>
    <xf numFmtId="0" fontId="85" fillId="0" borderId="0" xfId="0" applyFont="1" applyBorder="1" applyAlignment="1">
      <alignment vertical="center" wrapText="1"/>
    </xf>
    <xf numFmtId="4" fontId="2" fillId="3" borderId="7" xfId="6" applyNumberFormat="1" applyFont="1" applyFill="1" applyBorder="1" applyAlignment="1" applyProtection="1">
      <alignment horizontal="center" vertical="center" wrapText="1"/>
    </xf>
    <xf numFmtId="4" fontId="2" fillId="3" borderId="0" xfId="6" applyNumberFormat="1" applyFont="1" applyFill="1" applyBorder="1" applyAlignment="1" applyProtection="1">
      <alignment horizontal="center" vertical="center" wrapText="1"/>
    </xf>
    <xf numFmtId="4" fontId="2" fillId="8" borderId="6" xfId="6" applyNumberFormat="1" applyFont="1" applyFill="1" applyBorder="1" applyAlignment="1" applyProtection="1">
      <alignment horizontal="center" vertical="center" wrapText="1"/>
    </xf>
    <xf numFmtId="4" fontId="2" fillId="3" borderId="8" xfId="6" applyNumberFormat="1" applyFont="1" applyFill="1" applyBorder="1" applyAlignment="1" applyProtection="1">
      <alignment horizontal="center" vertical="center" wrapText="1"/>
    </xf>
    <xf numFmtId="0" fontId="85" fillId="3" borderId="0" xfId="0" applyFont="1" applyFill="1" applyAlignment="1">
      <alignment wrapText="1"/>
    </xf>
    <xf numFmtId="0" fontId="5" fillId="0" borderId="0" xfId="6" applyFont="1" applyFill="1" applyBorder="1" applyAlignment="1" applyProtection="1">
      <alignment vertical="center"/>
    </xf>
    <xf numFmtId="0" fontId="98" fillId="0" borderId="0" xfId="0" applyFont="1" applyAlignment="1">
      <alignment wrapText="1"/>
    </xf>
    <xf numFmtId="0" fontId="98" fillId="9" borderId="0" xfId="0" applyFont="1" applyFill="1" applyAlignment="1">
      <alignment wrapText="1"/>
    </xf>
    <xf numFmtId="0" fontId="98" fillId="0" borderId="0" xfId="0" applyFont="1" applyFill="1" applyAlignment="1">
      <alignment wrapText="1"/>
    </xf>
    <xf numFmtId="0" fontId="98" fillId="10" borderId="0" xfId="0" applyFont="1" applyFill="1" applyAlignment="1">
      <alignment wrapText="1"/>
    </xf>
    <xf numFmtId="0" fontId="84" fillId="3" borderId="1" xfId="0" applyFont="1" applyFill="1" applyBorder="1" applyAlignment="1">
      <alignment horizontal="center" vertical="center"/>
    </xf>
    <xf numFmtId="16" fontId="84" fillId="3" borderId="1" xfId="0" applyNumberFormat="1" applyFont="1" applyFill="1" applyBorder="1" applyAlignment="1">
      <alignment horizontal="center" vertical="center"/>
    </xf>
    <xf numFmtId="0" fontId="84" fillId="3" borderId="13" xfId="0" applyFont="1" applyFill="1" applyBorder="1" applyAlignment="1">
      <alignment horizontal="center" vertical="center"/>
    </xf>
    <xf numFmtId="0" fontId="84" fillId="11" borderId="1" xfId="0" applyFont="1" applyFill="1" applyBorder="1" applyAlignment="1">
      <alignment horizontal="center" vertical="center"/>
    </xf>
    <xf numFmtId="0" fontId="99" fillId="12" borderId="11" xfId="0" applyFont="1" applyFill="1" applyBorder="1" applyAlignment="1">
      <alignment horizontal="center" vertical="center" wrapText="1"/>
    </xf>
    <xf numFmtId="0" fontId="99" fillId="11" borderId="11" xfId="0" applyFont="1" applyFill="1" applyBorder="1" applyAlignment="1">
      <alignment horizontal="center" vertical="center"/>
    </xf>
    <xf numFmtId="0" fontId="84" fillId="11" borderId="1" xfId="0" applyFont="1" applyFill="1" applyBorder="1" applyAlignment="1">
      <alignment horizontal="center" vertical="center" wrapText="1"/>
    </xf>
    <xf numFmtId="16" fontId="100" fillId="13" borderId="3" xfId="0" applyNumberFormat="1" applyFont="1" applyFill="1" applyBorder="1" applyAlignment="1">
      <alignment horizontal="center" vertical="center"/>
    </xf>
    <xf numFmtId="0" fontId="84" fillId="13" borderId="1" xfId="0" applyFont="1" applyFill="1" applyBorder="1" applyAlignment="1">
      <alignment horizontal="center" vertical="center"/>
    </xf>
    <xf numFmtId="16" fontId="84" fillId="14" borderId="23" xfId="0" applyNumberFormat="1" applyFont="1" applyFill="1" applyBorder="1" applyAlignment="1">
      <alignment horizontal="center" vertical="center"/>
    </xf>
    <xf numFmtId="0" fontId="84" fillId="14" borderId="11" xfId="0" applyFont="1" applyFill="1" applyBorder="1" applyAlignment="1">
      <alignment horizontal="center" vertical="center"/>
    </xf>
    <xf numFmtId="0" fontId="84" fillId="14" borderId="1" xfId="0" applyFont="1" applyFill="1" applyBorder="1" applyAlignment="1">
      <alignment horizontal="center" vertical="center"/>
    </xf>
    <xf numFmtId="0" fontId="84" fillId="3" borderId="6" xfId="0" applyFont="1" applyFill="1" applyBorder="1" applyAlignment="1">
      <alignment horizontal="center" vertical="center"/>
    </xf>
    <xf numFmtId="0" fontId="84" fillId="4" borderId="3" xfId="0" applyFont="1" applyFill="1" applyBorder="1" applyAlignment="1">
      <alignment horizontal="center"/>
    </xf>
    <xf numFmtId="0" fontId="84" fillId="4" borderId="1" xfId="0" applyFont="1" applyFill="1" applyBorder="1" applyAlignment="1">
      <alignment horizontal="center" vertical="center"/>
    </xf>
    <xf numFmtId="0" fontId="84" fillId="15" borderId="3" xfId="0" applyFont="1" applyFill="1" applyBorder="1" applyAlignment="1">
      <alignment horizontal="center"/>
    </xf>
    <xf numFmtId="0" fontId="84" fillId="15" borderId="11" xfId="0" applyFont="1" applyFill="1" applyBorder="1" applyAlignment="1">
      <alignment horizontal="center"/>
    </xf>
    <xf numFmtId="0" fontId="84" fillId="15" borderId="1" xfId="0" applyFont="1" applyFill="1" applyBorder="1" applyAlignment="1">
      <alignment horizontal="center" vertical="center"/>
    </xf>
    <xf numFmtId="0" fontId="84" fillId="15" borderId="6" xfId="0" applyFont="1" applyFill="1" applyBorder="1" applyAlignment="1">
      <alignment horizontal="center" vertical="center"/>
    </xf>
    <xf numFmtId="0" fontId="100" fillId="12" borderId="3" xfId="0" applyFont="1" applyFill="1" applyBorder="1" applyAlignment="1">
      <alignment horizontal="left" vertical="center" wrapText="1"/>
    </xf>
    <xf numFmtId="0" fontId="98" fillId="0" borderId="1" xfId="0" applyFont="1" applyBorder="1" applyAlignment="1">
      <alignment horizontal="center"/>
    </xf>
    <xf numFmtId="0" fontId="101" fillId="3" borderId="1" xfId="0" applyFont="1" applyFill="1" applyBorder="1" applyAlignment="1">
      <alignment horizontal="center"/>
    </xf>
    <xf numFmtId="0" fontId="101" fillId="0" borderId="1" xfId="0" applyFont="1" applyBorder="1" applyAlignment="1">
      <alignment horizontal="center"/>
    </xf>
    <xf numFmtId="0" fontId="101" fillId="12" borderId="12" xfId="0" applyFont="1" applyFill="1" applyBorder="1" applyAlignment="1">
      <alignment horizontal="center"/>
    </xf>
    <xf numFmtId="0" fontId="98" fillId="0" borderId="5" xfId="0" applyFont="1" applyBorder="1" applyAlignment="1">
      <alignment horizontal="center"/>
    </xf>
    <xf numFmtId="16" fontId="98" fillId="16" borderId="12" xfId="0" applyNumberFormat="1" applyFont="1" applyFill="1" applyBorder="1" applyAlignment="1">
      <alignment horizontal="center"/>
    </xf>
    <xf numFmtId="0" fontId="98" fillId="12" borderId="4" xfId="0" applyFont="1" applyFill="1" applyBorder="1" applyAlignment="1">
      <alignment horizontal="center"/>
    </xf>
    <xf numFmtId="0" fontId="98" fillId="0" borderId="7" xfId="0" applyFont="1" applyBorder="1" applyAlignment="1">
      <alignment horizontal="center"/>
    </xf>
    <xf numFmtId="0" fontId="98" fillId="0" borderId="11" xfId="0" applyFont="1" applyBorder="1" applyAlignment="1">
      <alignment horizontal="center"/>
    </xf>
    <xf numFmtId="0" fontId="98" fillId="0" borderId="12" xfId="0" applyFont="1" applyFill="1" applyBorder="1" applyAlignment="1">
      <alignment horizontal="center"/>
    </xf>
    <xf numFmtId="0" fontId="98" fillId="0" borderId="5" xfId="0" applyFont="1" applyBorder="1"/>
    <xf numFmtId="0" fontId="98" fillId="3" borderId="5" xfId="0" applyFont="1" applyFill="1" applyBorder="1"/>
    <xf numFmtId="0" fontId="98" fillId="17" borderId="5" xfId="0" applyFont="1" applyFill="1" applyBorder="1"/>
    <xf numFmtId="0" fontId="98" fillId="17" borderId="7" xfId="0" applyFont="1" applyFill="1" applyBorder="1"/>
    <xf numFmtId="4" fontId="98" fillId="0" borderId="0" xfId="0" applyNumberFormat="1" applyFont="1" applyAlignment="1">
      <alignment wrapText="1"/>
    </xf>
    <xf numFmtId="0" fontId="85" fillId="0" borderId="0" xfId="0" applyFont="1" applyBorder="1" applyAlignment="1">
      <alignment horizontal="center"/>
    </xf>
    <xf numFmtId="4" fontId="85" fillId="0" borderId="0" xfId="0" applyNumberFormat="1" applyFont="1" applyBorder="1" applyAlignment="1">
      <alignment horizontal="center"/>
    </xf>
    <xf numFmtId="0" fontId="6" fillId="3" borderId="0" xfId="6" applyFont="1" applyFill="1" applyBorder="1" applyAlignment="1">
      <alignment horizontal="left" vertical="center" wrapText="1"/>
    </xf>
    <xf numFmtId="0" fontId="80" fillId="0" borderId="0" xfId="0" applyFont="1" applyFill="1" applyBorder="1" applyAlignment="1" applyProtection="1">
      <alignment horizontal="center" wrapText="1"/>
      <protection locked="0"/>
    </xf>
    <xf numFmtId="0" fontId="80" fillId="0" borderId="0" xfId="0" applyFont="1" applyFill="1" applyBorder="1" applyAlignment="1" applyProtection="1">
      <alignment vertical="center" wrapText="1"/>
    </xf>
    <xf numFmtId="0" fontId="85" fillId="0" borderId="13" xfId="0" applyFont="1" applyFill="1" applyBorder="1" applyAlignment="1">
      <alignment horizontal="center"/>
    </xf>
    <xf numFmtId="0" fontId="81" fillId="0" borderId="3" xfId="0" applyFont="1" applyBorder="1" applyAlignment="1">
      <alignment horizontal="center" vertical="center"/>
    </xf>
    <xf numFmtId="0" fontId="85" fillId="0" borderId="1" xfId="0" applyFont="1" applyBorder="1" applyAlignment="1">
      <alignment horizontal="center"/>
    </xf>
    <xf numFmtId="0" fontId="80" fillId="0" borderId="0" xfId="0" applyFont="1" applyFill="1" applyBorder="1" applyAlignment="1" applyProtection="1">
      <alignment horizontal="center" vertical="center" wrapText="1"/>
      <protection locked="0"/>
    </xf>
    <xf numFmtId="4" fontId="2" fillId="3" borderId="0" xfId="6" applyNumberFormat="1" applyFont="1" applyFill="1" applyBorder="1" applyAlignment="1" applyProtection="1">
      <alignment vertical="center" wrapText="1"/>
    </xf>
    <xf numFmtId="180" fontId="97" fillId="3" borderId="0" xfId="0" applyNumberFormat="1" applyFont="1" applyFill="1" applyBorder="1" applyAlignment="1" applyProtection="1">
      <alignment horizontal="center"/>
    </xf>
    <xf numFmtId="0" fontId="80" fillId="3" borderId="0" xfId="0" applyFont="1" applyFill="1" applyBorder="1" applyAlignment="1" applyProtection="1">
      <alignment vertical="center" wrapText="1"/>
    </xf>
    <xf numFmtId="0" fontId="80" fillId="3" borderId="0" xfId="0" applyFont="1" applyFill="1" applyBorder="1" applyAlignment="1" applyProtection="1">
      <alignment horizontal="center" vertical="center" wrapText="1"/>
      <protection locked="0"/>
    </xf>
    <xf numFmtId="0" fontId="80" fillId="3" borderId="0" xfId="0" applyFont="1" applyFill="1" applyBorder="1" applyAlignment="1" applyProtection="1">
      <alignment horizontal="center" wrapText="1"/>
      <protection locked="0"/>
    </xf>
    <xf numFmtId="180" fontId="102" fillId="8" borderId="1" xfId="0" applyNumberFormat="1" applyFont="1" applyFill="1" applyBorder="1" applyAlignment="1" applyProtection="1">
      <alignment horizontal="center"/>
    </xf>
    <xf numFmtId="180" fontId="102" fillId="8" borderId="2" xfId="0" applyNumberFormat="1" applyFont="1" applyFill="1" applyBorder="1" applyAlignment="1" applyProtection="1">
      <alignment horizontal="center"/>
    </xf>
    <xf numFmtId="180" fontId="103" fillId="0" borderId="1" xfId="0" applyNumberFormat="1" applyFont="1" applyFill="1" applyBorder="1" applyAlignment="1" applyProtection="1">
      <alignment horizontal="center" vertical="center" wrapText="1"/>
    </xf>
    <xf numFmtId="0" fontId="2" fillId="3" borderId="16" xfId="6" applyFont="1" applyFill="1" applyBorder="1" applyAlignment="1">
      <alignment horizontal="center" vertical="center"/>
    </xf>
    <xf numFmtId="4" fontId="93" fillId="3" borderId="0" xfId="6" applyNumberFormat="1" applyFont="1" applyFill="1" applyBorder="1" applyAlignment="1">
      <alignment horizontal="center" vertical="center"/>
    </xf>
    <xf numFmtId="4" fontId="2" fillId="3" borderId="0" xfId="6" applyNumberFormat="1" applyFont="1" applyFill="1" applyBorder="1" applyAlignment="1" applyProtection="1">
      <alignment horizontal="center" vertical="center" wrapText="1"/>
    </xf>
    <xf numFmtId="0" fontId="83" fillId="0" borderId="0" xfId="0" applyFont="1" applyAlignment="1">
      <alignment horizontal="center" vertical="center"/>
    </xf>
    <xf numFmtId="0" fontId="81" fillId="0" borderId="0" xfId="0" applyFont="1" applyFill="1" applyBorder="1" applyAlignment="1">
      <alignment horizontal="center" vertical="center" wrapText="1"/>
    </xf>
    <xf numFmtId="4" fontId="2" fillId="0" borderId="0" xfId="6" applyNumberFormat="1" applyFont="1" applyFill="1" applyBorder="1" applyAlignment="1">
      <alignment horizontal="center" vertical="center"/>
    </xf>
    <xf numFmtId="0" fontId="85" fillId="18" borderId="6" xfId="0" applyFont="1" applyFill="1" applyBorder="1" applyAlignment="1">
      <alignment horizontal="center"/>
    </xf>
    <xf numFmtId="3" fontId="103" fillId="0" borderId="21" xfId="0" applyNumberFormat="1" applyFont="1" applyFill="1" applyBorder="1" applyAlignment="1" applyProtection="1">
      <alignment vertical="center"/>
    </xf>
    <xf numFmtId="182" fontId="2" fillId="0" borderId="0" xfId="6" applyNumberFormat="1" applyFont="1" applyFill="1" applyBorder="1" applyAlignment="1" applyProtection="1">
      <alignment horizontal="center" vertical="center" wrapText="1"/>
    </xf>
    <xf numFmtId="4" fontId="83" fillId="6" borderId="1" xfId="0" applyNumberFormat="1" applyFont="1" applyFill="1" applyBorder="1" applyProtection="1"/>
    <xf numFmtId="4" fontId="86" fillId="6" borderId="1" xfId="0" applyNumberFormat="1" applyFont="1" applyFill="1" applyBorder="1" applyAlignment="1">
      <alignment horizontal="center"/>
    </xf>
    <xf numFmtId="1" fontId="80" fillId="3" borderId="5" xfId="0" applyNumberFormat="1" applyFont="1" applyFill="1" applyBorder="1" applyAlignment="1">
      <alignment horizontal="center" vertical="center"/>
    </xf>
    <xf numFmtId="0" fontId="85" fillId="3" borderId="2" xfId="0" applyFont="1" applyFill="1" applyBorder="1" applyAlignment="1">
      <alignment horizontal="center" vertical="center"/>
    </xf>
    <xf numFmtId="0" fontId="104" fillId="0" borderId="0" xfId="0" applyFont="1"/>
    <xf numFmtId="4" fontId="35" fillId="3" borderId="0" xfId="6" applyNumberFormat="1" applyFont="1" applyFill="1" applyBorder="1" applyAlignment="1" applyProtection="1">
      <alignment wrapText="1"/>
    </xf>
    <xf numFmtId="4" fontId="2" fillId="8" borderId="24" xfId="6" applyNumberFormat="1" applyFont="1" applyFill="1" applyBorder="1" applyAlignment="1" applyProtection="1">
      <alignment horizontal="center" vertical="center" wrapText="1"/>
    </xf>
    <xf numFmtId="180" fontId="92" fillId="3" borderId="0" xfId="6" applyNumberFormat="1" applyFont="1" applyFill="1" applyBorder="1" applyAlignment="1" applyProtection="1">
      <alignment vertical="center"/>
      <protection locked="0"/>
    </xf>
    <xf numFmtId="0" fontId="8" fillId="3" borderId="0" xfId="0" applyFont="1" applyFill="1" applyAlignment="1" applyProtection="1">
      <alignment wrapText="1"/>
      <protection locked="0"/>
    </xf>
    <xf numFmtId="0" fontId="2" fillId="3" borderId="18" xfId="6" applyFont="1" applyFill="1" applyBorder="1" applyAlignment="1" applyProtection="1">
      <alignment horizontal="center" vertical="center"/>
    </xf>
    <xf numFmtId="0" fontId="2" fillId="3" borderId="18" xfId="6" applyFont="1" applyFill="1" applyBorder="1" applyAlignment="1">
      <alignment horizontal="center" vertical="center"/>
    </xf>
    <xf numFmtId="4" fontId="83" fillId="6" borderId="11" xfId="0" applyNumberFormat="1" applyFont="1" applyFill="1" applyBorder="1"/>
    <xf numFmtId="4" fontId="83" fillId="6" borderId="12" xfId="0" applyNumberFormat="1" applyFont="1" applyFill="1" applyBorder="1"/>
    <xf numFmtId="0" fontId="6" fillId="0" borderId="21" xfId="6" applyFont="1" applyFill="1" applyBorder="1" applyAlignment="1">
      <alignment horizontal="center" vertical="center"/>
    </xf>
    <xf numFmtId="49" fontId="12" fillId="3" borderId="2" xfId="6" applyNumberFormat="1" applyFont="1" applyFill="1" applyBorder="1" applyAlignment="1">
      <alignment horizontal="center" vertical="center"/>
    </xf>
    <xf numFmtId="0" fontId="6" fillId="0" borderId="8" xfId="6" applyFont="1" applyFill="1" applyBorder="1" applyAlignment="1">
      <alignment vertical="center"/>
    </xf>
    <xf numFmtId="0" fontId="84" fillId="3" borderId="1" xfId="0" applyFont="1" applyFill="1" applyBorder="1" applyAlignment="1">
      <alignment horizontal="left" vertical="center"/>
    </xf>
    <xf numFmtId="0" fontId="84" fillId="3" borderId="1" xfId="0" applyFont="1" applyFill="1" applyBorder="1" applyAlignment="1">
      <alignment vertical="center"/>
    </xf>
    <xf numFmtId="0" fontId="84" fillId="3" borderId="13" xfId="0" applyFont="1" applyFill="1" applyBorder="1" applyAlignment="1">
      <alignment vertical="center"/>
    </xf>
    <xf numFmtId="0" fontId="84" fillId="3" borderId="13" xfId="0" applyFont="1" applyFill="1" applyBorder="1" applyAlignment="1">
      <alignment horizontal="left" vertical="center"/>
    </xf>
    <xf numFmtId="0" fontId="99" fillId="12" borderId="11" xfId="0" applyFont="1" applyFill="1" applyBorder="1" applyAlignment="1">
      <alignment vertical="center"/>
    </xf>
    <xf numFmtId="0" fontId="84" fillId="16" borderId="11" xfId="0" applyFont="1" applyFill="1" applyBorder="1" applyAlignment="1">
      <alignment horizontal="left" vertical="center"/>
    </xf>
    <xf numFmtId="0" fontId="100" fillId="12" borderId="3" xfId="0" applyFont="1" applyFill="1" applyBorder="1" applyAlignment="1">
      <alignment horizontal="left" vertical="center"/>
    </xf>
    <xf numFmtId="0" fontId="35" fillId="3" borderId="1" xfId="0" applyFont="1" applyFill="1" applyBorder="1" applyAlignment="1">
      <alignment horizontal="left" vertical="center"/>
    </xf>
    <xf numFmtId="0" fontId="35" fillId="3" borderId="6" xfId="0" applyFont="1" applyFill="1" applyBorder="1" applyAlignment="1">
      <alignment horizontal="left" vertical="center"/>
    </xf>
    <xf numFmtId="0" fontId="35" fillId="3" borderId="11" xfId="0" applyFont="1" applyFill="1" applyBorder="1" applyAlignment="1">
      <alignment horizontal="left" vertical="center"/>
    </xf>
    <xf numFmtId="0" fontId="84" fillId="3" borderId="6" xfId="0" applyFont="1" applyFill="1" applyBorder="1" applyAlignment="1">
      <alignment horizontal="left" vertical="center"/>
    </xf>
    <xf numFmtId="0" fontId="99" fillId="12" borderId="3" xfId="0" applyFont="1" applyFill="1" applyBorder="1" applyAlignment="1">
      <alignment horizontal="left" vertical="center"/>
    </xf>
    <xf numFmtId="0" fontId="99" fillId="0" borderId="11" xfId="0" applyFont="1" applyFill="1" applyBorder="1" applyAlignment="1">
      <alignment horizontal="left" vertical="center"/>
    </xf>
    <xf numFmtId="0" fontId="84" fillId="17" borderId="1" xfId="0" applyFont="1" applyFill="1" applyBorder="1" applyAlignment="1">
      <alignment horizontal="left" vertical="center"/>
    </xf>
    <xf numFmtId="0" fontId="84" fillId="17" borderId="6" xfId="0" applyFont="1" applyFill="1" applyBorder="1" applyAlignment="1">
      <alignment horizontal="left" vertical="center"/>
    </xf>
    <xf numFmtId="0" fontId="0" fillId="0" borderId="0" xfId="0" applyAlignment="1"/>
    <xf numFmtId="0" fontId="84" fillId="15" borderId="13" xfId="0" applyFont="1" applyFill="1" applyBorder="1" applyAlignment="1">
      <alignment horizontal="center" vertical="center"/>
    </xf>
    <xf numFmtId="0" fontId="84" fillId="17" borderId="13" xfId="0" applyFont="1" applyFill="1" applyBorder="1" applyAlignment="1">
      <alignment horizontal="left" vertical="center"/>
    </xf>
    <xf numFmtId="0" fontId="85" fillId="3" borderId="1" xfId="0" applyFont="1" applyFill="1" applyBorder="1" applyAlignment="1">
      <alignment horizontal="center" vertical="center" wrapText="1"/>
    </xf>
    <xf numFmtId="4" fontId="2" fillId="3" borderId="1" xfId="6" applyNumberFormat="1" applyFont="1" applyFill="1" applyBorder="1" applyAlignment="1">
      <alignment horizontal="center" vertical="center" wrapText="1"/>
    </xf>
    <xf numFmtId="0" fontId="2" fillId="3" borderId="11" xfId="6" applyFont="1" applyFill="1" applyBorder="1" applyAlignment="1">
      <alignment horizontal="center" vertical="center" wrapText="1"/>
    </xf>
    <xf numFmtId="49" fontId="2" fillId="3" borderId="15" xfId="6" applyNumberFormat="1" applyFont="1" applyFill="1" applyBorder="1" applyAlignment="1">
      <alignment horizontal="center" vertical="center"/>
    </xf>
    <xf numFmtId="0" fontId="2" fillId="3" borderId="3" xfId="6" applyFont="1" applyFill="1" applyBorder="1" applyAlignment="1">
      <alignment horizontal="center" vertical="center" wrapText="1"/>
    </xf>
    <xf numFmtId="0" fontId="2" fillId="3" borderId="10" xfId="6" applyFont="1" applyFill="1" applyBorder="1" applyAlignment="1">
      <alignment horizontal="center" vertical="center" wrapText="1"/>
    </xf>
    <xf numFmtId="16" fontId="17" fillId="3" borderId="2" xfId="6" applyNumberFormat="1" applyFont="1" applyFill="1" applyBorder="1" applyAlignment="1">
      <alignment horizontal="left" wrapText="1" indent="2"/>
    </xf>
    <xf numFmtId="0" fontId="103" fillId="0" borderId="1" xfId="0" applyFont="1" applyBorder="1" applyAlignment="1">
      <alignment horizontal="center" vertical="center" wrapText="1"/>
    </xf>
    <xf numFmtId="4" fontId="85" fillId="6" borderId="11" xfId="0" applyNumberFormat="1" applyFont="1" applyFill="1" applyBorder="1" applyAlignment="1">
      <alignment horizontal="center"/>
    </xf>
    <xf numFmtId="4" fontId="105" fillId="0" borderId="0" xfId="0" applyNumberFormat="1" applyFont="1" applyFill="1" applyBorder="1" applyAlignment="1" applyProtection="1">
      <alignment horizontal="center"/>
    </xf>
    <xf numFmtId="0" fontId="85" fillId="3" borderId="0" xfId="0" applyFont="1" applyFill="1" applyBorder="1" applyAlignment="1" applyProtection="1">
      <alignment vertical="center" wrapText="1"/>
    </xf>
    <xf numFmtId="0" fontId="7" fillId="3" borderId="0" xfId="6" applyFont="1" applyFill="1" applyBorder="1" applyAlignment="1"/>
    <xf numFmtId="0" fontId="8" fillId="3" borderId="0" xfId="6" applyFont="1" applyFill="1" applyBorder="1" applyAlignment="1">
      <alignment horizontal="left" vertical="center" wrapText="1" indent="1"/>
    </xf>
    <xf numFmtId="4" fontId="8" fillId="3" borderId="0" xfId="6" applyNumberFormat="1" applyFont="1" applyFill="1" applyBorder="1" applyAlignment="1">
      <alignment vertical="center"/>
    </xf>
    <xf numFmtId="4" fontId="8" fillId="3" borderId="1" xfId="6" applyNumberFormat="1" applyFont="1" applyFill="1" applyBorder="1" applyAlignment="1" applyProtection="1">
      <alignment horizontal="center" vertical="center"/>
      <protection locked="0"/>
    </xf>
    <xf numFmtId="0" fontId="6" fillId="3" borderId="15" xfId="6" applyFont="1" applyFill="1" applyBorder="1" applyAlignment="1">
      <alignment horizontal="left" vertical="center"/>
    </xf>
    <xf numFmtId="16" fontId="2" fillId="3" borderId="2" xfId="6" applyNumberFormat="1" applyFont="1" applyFill="1" applyBorder="1" applyAlignment="1">
      <alignment horizontal="left" vertical="center"/>
    </xf>
    <xf numFmtId="14" fontId="2" fillId="3" borderId="2" xfId="6" applyNumberFormat="1" applyFont="1" applyFill="1" applyBorder="1" applyAlignment="1">
      <alignment horizontal="left" vertical="center"/>
    </xf>
    <xf numFmtId="0" fontId="2" fillId="3" borderId="2" xfId="6" applyFont="1" applyFill="1" applyBorder="1" applyAlignment="1">
      <alignment horizontal="left" vertical="center"/>
    </xf>
    <xf numFmtId="14" fontId="83" fillId="3" borderId="2" xfId="6" applyNumberFormat="1" applyFont="1" applyFill="1" applyBorder="1" applyAlignment="1">
      <alignment horizontal="left" vertical="center"/>
    </xf>
    <xf numFmtId="14" fontId="6" fillId="3" borderId="2" xfId="6" applyNumberFormat="1" applyFont="1" applyFill="1" applyBorder="1" applyAlignment="1">
      <alignment horizontal="left" vertical="center"/>
    </xf>
    <xf numFmtId="0" fontId="2" fillId="3" borderId="2" xfId="6" applyFont="1" applyFill="1" applyBorder="1" applyAlignment="1"/>
    <xf numFmtId="0" fontId="2" fillId="3" borderId="8" xfId="6" applyFont="1" applyFill="1" applyBorder="1" applyAlignment="1"/>
    <xf numFmtId="16" fontId="23" fillId="3" borderId="15" xfId="6" applyNumberFormat="1" applyFont="1" applyFill="1" applyBorder="1" applyAlignment="1">
      <alignment horizontal="left" vertical="center" indent="2"/>
    </xf>
    <xf numFmtId="4" fontId="85" fillId="0" borderId="19" xfId="0" applyNumberFormat="1" applyFont="1" applyBorder="1" applyProtection="1">
      <protection locked="0"/>
    </xf>
    <xf numFmtId="16" fontId="17" fillId="3" borderId="21" xfId="6" applyNumberFormat="1" applyFont="1" applyFill="1" applyBorder="1" applyAlignment="1">
      <alignment horizontal="left" wrapText="1" indent="2"/>
    </xf>
    <xf numFmtId="16" fontId="17" fillId="3" borderId="2" xfId="6" applyNumberFormat="1" applyFont="1" applyFill="1" applyBorder="1" applyAlignment="1">
      <alignment horizontal="center" wrapText="1"/>
    </xf>
    <xf numFmtId="1" fontId="17" fillId="3" borderId="5" xfId="6" applyNumberFormat="1" applyFont="1" applyFill="1" applyBorder="1" applyAlignment="1">
      <alignment horizontal="center" wrapText="1"/>
    </xf>
    <xf numFmtId="4" fontId="85" fillId="6" borderId="5" xfId="0" quotePrefix="1" applyNumberFormat="1" applyFont="1" applyFill="1" applyBorder="1" applyAlignment="1">
      <alignment horizontal="center"/>
    </xf>
    <xf numFmtId="16" fontId="22" fillId="3" borderId="2" xfId="6" applyNumberFormat="1" applyFont="1" applyFill="1" applyBorder="1" applyAlignment="1">
      <alignment horizontal="left" wrapText="1" indent="2"/>
    </xf>
    <xf numFmtId="16" fontId="22" fillId="3" borderId="8" xfId="6" applyNumberFormat="1" applyFont="1" applyFill="1" applyBorder="1" applyAlignment="1">
      <alignment horizontal="left" wrapText="1" indent="2"/>
    </xf>
    <xf numFmtId="4" fontId="83" fillId="6" borderId="6" xfId="0" applyNumberFormat="1" applyFont="1" applyFill="1" applyBorder="1" applyAlignment="1">
      <alignment horizontal="center"/>
    </xf>
    <xf numFmtId="0" fontId="85" fillId="3" borderId="0" xfId="0" applyFont="1" applyFill="1" applyBorder="1" applyAlignment="1" applyProtection="1">
      <alignment vertical="center" wrapText="1"/>
      <protection locked="0"/>
    </xf>
    <xf numFmtId="0" fontId="8" fillId="3" borderId="0" xfId="6" applyFont="1" applyFill="1" applyBorder="1" applyAlignment="1" applyProtection="1">
      <alignment horizontal="center" vertical="center" wrapText="1"/>
      <protection locked="0"/>
    </xf>
    <xf numFmtId="1" fontId="17" fillId="3" borderId="0" xfId="6" applyNumberFormat="1" applyFont="1" applyFill="1" applyBorder="1" applyAlignment="1" applyProtection="1">
      <alignment horizontal="center" wrapText="1"/>
      <protection locked="0"/>
    </xf>
    <xf numFmtId="4" fontId="85" fillId="3" borderId="0" xfId="0" quotePrefix="1" applyNumberFormat="1" applyFont="1" applyFill="1" applyBorder="1" applyAlignment="1" applyProtection="1">
      <alignment horizontal="center"/>
      <protection locked="0"/>
    </xf>
    <xf numFmtId="4" fontId="85" fillId="0" borderId="8" xfId="0" applyNumberFormat="1" applyFont="1" applyBorder="1" applyProtection="1"/>
    <xf numFmtId="4" fontId="85" fillId="0" borderId="6" xfId="0" applyNumberFormat="1" applyFont="1" applyBorder="1" applyProtection="1"/>
    <xf numFmtId="4" fontId="85" fillId="19" borderId="6" xfId="0" applyNumberFormat="1" applyFont="1" applyFill="1" applyBorder="1" applyProtection="1"/>
    <xf numFmtId="4" fontId="85" fillId="19" borderId="7" xfId="0" applyNumberFormat="1" applyFont="1" applyFill="1" applyBorder="1" applyProtection="1"/>
    <xf numFmtId="4" fontId="83" fillId="3" borderId="0" xfId="0" applyNumberFormat="1" applyFont="1" applyFill="1" applyBorder="1" applyProtection="1"/>
    <xf numFmtId="0" fontId="80" fillId="0" borderId="0" xfId="0" applyFont="1" applyProtection="1"/>
    <xf numFmtId="4" fontId="85" fillId="3" borderId="0" xfId="0" applyNumberFormat="1" applyFont="1" applyFill="1" applyBorder="1" applyProtection="1"/>
    <xf numFmtId="182" fontId="80" fillId="0" borderId="0" xfId="0" applyNumberFormat="1" applyFont="1" applyProtection="1">
      <protection locked="0"/>
    </xf>
    <xf numFmtId="4" fontId="85" fillId="3" borderId="1" xfId="0" applyNumberFormat="1" applyFont="1" applyFill="1" applyBorder="1" applyProtection="1">
      <protection locked="0"/>
    </xf>
    <xf numFmtId="4" fontId="8" fillId="3" borderId="5" xfId="6" applyNumberFormat="1" applyFont="1" applyFill="1" applyBorder="1" applyAlignment="1" applyProtection="1">
      <alignment horizontal="center" vertical="center"/>
      <protection locked="0"/>
    </xf>
    <xf numFmtId="4" fontId="85" fillId="3" borderId="1" xfId="0" applyNumberFormat="1" applyFont="1" applyFill="1" applyBorder="1"/>
    <xf numFmtId="4" fontId="85" fillId="3" borderId="1" xfId="0" applyNumberFormat="1" applyFont="1" applyFill="1" applyBorder="1" applyAlignment="1" applyProtection="1">
      <alignment horizontal="center"/>
      <protection locked="0"/>
    </xf>
    <xf numFmtId="4" fontId="85" fillId="3" borderId="6" xfId="0" applyNumberFormat="1" applyFont="1" applyFill="1" applyBorder="1"/>
    <xf numFmtId="4" fontId="85" fillId="3" borderId="6" xfId="0" applyNumberFormat="1" applyFont="1" applyFill="1" applyBorder="1" applyProtection="1">
      <protection locked="0"/>
    </xf>
    <xf numFmtId="1" fontId="2" fillId="3" borderId="6" xfId="6" applyNumberFormat="1" applyFont="1" applyFill="1" applyBorder="1" applyAlignment="1">
      <alignment horizontal="center" vertical="center"/>
    </xf>
    <xf numFmtId="4" fontId="85" fillId="3" borderId="5" xfId="0" applyNumberFormat="1" applyFont="1" applyFill="1" applyBorder="1"/>
    <xf numFmtId="1" fontId="2" fillId="3" borderId="1" xfId="6" applyNumberFormat="1" applyFont="1" applyFill="1" applyBorder="1" applyAlignment="1">
      <alignment horizontal="center" vertical="center"/>
    </xf>
    <xf numFmtId="4" fontId="85" fillId="3" borderId="11" xfId="0" applyNumberFormat="1" applyFont="1" applyFill="1" applyBorder="1"/>
    <xf numFmtId="4" fontId="85" fillId="3" borderId="11" xfId="0" applyNumberFormat="1" applyFont="1" applyFill="1" applyBorder="1" applyAlignment="1" applyProtection="1">
      <alignment horizontal="center"/>
      <protection locked="0"/>
    </xf>
    <xf numFmtId="4" fontId="85" fillId="3" borderId="11" xfId="0" applyNumberFormat="1" applyFont="1" applyFill="1" applyBorder="1" applyProtection="1">
      <protection locked="0"/>
    </xf>
    <xf numFmtId="4" fontId="85" fillId="3" borderId="6" xfId="0" applyNumberFormat="1" applyFont="1" applyFill="1" applyBorder="1" applyAlignment="1" applyProtection="1">
      <alignment horizontal="center"/>
      <protection locked="0"/>
    </xf>
    <xf numFmtId="4" fontId="85" fillId="3" borderId="7" xfId="0" applyNumberFormat="1" applyFont="1" applyFill="1" applyBorder="1"/>
    <xf numFmtId="182" fontId="8" fillId="3" borderId="18" xfId="6" quotePrefix="1" applyNumberFormat="1" applyFont="1" applyFill="1" applyBorder="1" applyAlignment="1" applyProtection="1">
      <alignment horizontal="center" vertical="center"/>
      <protection locked="0"/>
    </xf>
    <xf numFmtId="4" fontId="85" fillId="3" borderId="12" xfId="0" applyNumberFormat="1" applyFont="1" applyFill="1" applyBorder="1"/>
    <xf numFmtId="4" fontId="85" fillId="3" borderId="1" xfId="0" applyNumberFormat="1" applyFont="1" applyFill="1" applyBorder="1" applyAlignment="1" applyProtection="1">
      <alignment horizontal="center" vertical="center"/>
      <protection locked="0"/>
    </xf>
    <xf numFmtId="4" fontId="85" fillId="3" borderId="17" xfId="0" applyNumberFormat="1" applyFont="1" applyFill="1" applyBorder="1" applyAlignment="1">
      <alignment horizontal="center" vertical="center" wrapText="1"/>
    </xf>
    <xf numFmtId="1" fontId="2" fillId="0" borderId="0" xfId="6" applyNumberFormat="1" applyFont="1" applyFill="1" applyBorder="1" applyAlignment="1">
      <alignment vertical="center"/>
    </xf>
    <xf numFmtId="1" fontId="80" fillId="0" borderId="0" xfId="0" applyNumberFormat="1" applyFont="1"/>
    <xf numFmtId="4" fontId="85" fillId="20" borderId="17" xfId="0" applyNumberFormat="1" applyFont="1" applyFill="1" applyBorder="1" applyAlignment="1">
      <alignment horizontal="center" vertical="center" wrapText="1"/>
    </xf>
    <xf numFmtId="4" fontId="85" fillId="11" borderId="17" xfId="0" applyNumberFormat="1" applyFont="1" applyFill="1" applyBorder="1" applyAlignment="1">
      <alignment horizontal="center" vertical="center" wrapText="1"/>
    </xf>
    <xf numFmtId="0" fontId="2" fillId="21" borderId="17" xfId="6" applyFont="1" applyFill="1" applyBorder="1" applyAlignment="1">
      <alignment horizontal="center" vertical="center"/>
    </xf>
    <xf numFmtId="4" fontId="85" fillId="21" borderId="17" xfId="0" applyNumberFormat="1" applyFont="1" applyFill="1" applyBorder="1" applyAlignment="1">
      <alignment horizontal="center" vertical="center" wrapText="1"/>
    </xf>
    <xf numFmtId="0" fontId="2" fillId="22" borderId="17" xfId="6" applyFont="1" applyFill="1" applyBorder="1" applyAlignment="1">
      <alignment horizontal="center" vertical="center"/>
    </xf>
    <xf numFmtId="4" fontId="85" fillId="22" borderId="17" xfId="0" applyNumberFormat="1" applyFont="1" applyFill="1" applyBorder="1" applyAlignment="1">
      <alignment horizontal="center" vertical="center" wrapText="1"/>
    </xf>
    <xf numFmtId="4" fontId="2" fillId="0" borderId="0" xfId="6" applyNumberFormat="1" applyFont="1" applyFill="1" applyBorder="1" applyAlignment="1">
      <alignment vertical="center"/>
    </xf>
    <xf numFmtId="0" fontId="2" fillId="20" borderId="17" xfId="6" applyFont="1" applyFill="1" applyBorder="1" applyAlignment="1">
      <alignment horizontal="center" vertical="center" wrapText="1"/>
    </xf>
    <xf numFmtId="180" fontId="2" fillId="3" borderId="17" xfId="6" applyNumberFormat="1" applyFont="1" applyFill="1" applyBorder="1" applyAlignment="1">
      <alignment horizontal="center" vertical="center"/>
    </xf>
    <xf numFmtId="180" fontId="2" fillId="0" borderId="0" xfId="6" applyNumberFormat="1" applyFont="1" applyFill="1" applyBorder="1" applyAlignment="1">
      <alignment vertical="center"/>
    </xf>
    <xf numFmtId="0" fontId="2" fillId="11" borderId="17" xfId="6" applyFont="1" applyFill="1" applyBorder="1" applyAlignment="1">
      <alignment horizontal="center" vertical="center" wrapText="1"/>
    </xf>
    <xf numFmtId="0" fontId="81" fillId="0" borderId="3" xfId="0" applyFont="1" applyBorder="1" applyAlignment="1">
      <alignment horizontal="center" vertical="center" wrapText="1"/>
    </xf>
    <xf numFmtId="0" fontId="2" fillId="3" borderId="1" xfId="6" applyFont="1" applyFill="1" applyBorder="1" applyAlignment="1">
      <alignment horizontal="center" vertical="center"/>
    </xf>
    <xf numFmtId="0" fontId="2" fillId="3" borderId="3" xfId="6" applyFont="1" applyFill="1" applyBorder="1" applyAlignment="1">
      <alignment horizontal="center" vertical="center" wrapText="1"/>
    </xf>
    <xf numFmtId="0" fontId="2" fillId="3" borderId="4" xfId="6" applyFont="1" applyFill="1" applyBorder="1" applyAlignment="1">
      <alignment horizontal="center" vertical="center" wrapText="1"/>
    </xf>
    <xf numFmtId="0" fontId="81" fillId="0" borderId="1" xfId="0" applyFont="1" applyBorder="1" applyAlignment="1">
      <alignment horizontal="left" vertical="center" wrapText="1"/>
    </xf>
    <xf numFmtId="0" fontId="2" fillId="3" borderId="13" xfId="6" applyFont="1" applyFill="1" applyBorder="1" applyAlignment="1">
      <alignment horizontal="center" vertical="center" wrapText="1"/>
    </xf>
    <xf numFmtId="0" fontId="2" fillId="3" borderId="5" xfId="6" applyFont="1" applyFill="1" applyBorder="1" applyAlignment="1">
      <alignment horizontal="center" vertical="center" wrapText="1"/>
    </xf>
    <xf numFmtId="0" fontId="2" fillId="3" borderId="11" xfId="6" applyFont="1" applyFill="1" applyBorder="1" applyAlignment="1">
      <alignment horizontal="center" vertical="center" wrapText="1"/>
    </xf>
    <xf numFmtId="0" fontId="2" fillId="3" borderId="12" xfId="6" applyFont="1" applyFill="1" applyBorder="1" applyAlignment="1">
      <alignment horizontal="center" vertical="center" wrapText="1"/>
    </xf>
    <xf numFmtId="0" fontId="2" fillId="3" borderId="1" xfId="6" applyFont="1" applyFill="1" applyBorder="1" applyAlignment="1">
      <alignment horizontal="center" vertical="center" wrapText="1"/>
    </xf>
    <xf numFmtId="0" fontId="2" fillId="3" borderId="1" xfId="6" applyFont="1" applyFill="1" applyBorder="1" applyAlignment="1">
      <alignment horizontal="left" vertical="center" wrapText="1" indent="2"/>
    </xf>
    <xf numFmtId="0" fontId="2" fillId="3" borderId="1" xfId="6" applyFont="1" applyFill="1" applyBorder="1" applyAlignment="1">
      <alignment horizontal="left" vertical="center" wrapText="1"/>
    </xf>
    <xf numFmtId="4" fontId="2" fillId="3" borderId="3" xfId="6" applyNumberFormat="1" applyFont="1" applyFill="1" applyBorder="1" applyAlignment="1">
      <alignment horizontal="center" vertical="center" wrapText="1"/>
    </xf>
    <xf numFmtId="0" fontId="6" fillId="3" borderId="1" xfId="6" applyFont="1" applyFill="1" applyBorder="1" applyAlignment="1">
      <alignment horizontal="left" vertical="center" wrapText="1"/>
    </xf>
    <xf numFmtId="0" fontId="2" fillId="3" borderId="6" xfId="6" applyFont="1" applyFill="1" applyBorder="1" applyAlignment="1">
      <alignment horizontal="left" vertical="center" wrapText="1" indent="2"/>
    </xf>
    <xf numFmtId="0" fontId="2" fillId="3" borderId="1" xfId="6" applyFont="1" applyFill="1" applyBorder="1" applyAlignment="1">
      <alignment horizontal="left" vertical="center" wrapText="1" indent="3"/>
    </xf>
    <xf numFmtId="0" fontId="2" fillId="0" borderId="1" xfId="6" applyFont="1" applyFill="1" applyBorder="1" applyAlignment="1">
      <alignment horizontal="left" vertical="center" wrapText="1"/>
    </xf>
    <xf numFmtId="0" fontId="85" fillId="0" borderId="1" xfId="6" applyFont="1" applyFill="1" applyBorder="1" applyAlignment="1">
      <alignment horizontal="left" vertical="center" wrapText="1"/>
    </xf>
    <xf numFmtId="0" fontId="6" fillId="0" borderId="1" xfId="6" applyFont="1" applyFill="1" applyBorder="1" applyAlignment="1">
      <alignment horizontal="left" vertical="center" wrapText="1"/>
    </xf>
    <xf numFmtId="0" fontId="8" fillId="3" borderId="15" xfId="6" applyFont="1" applyFill="1" applyBorder="1" applyAlignment="1">
      <alignment vertical="center" wrapText="1"/>
    </xf>
    <xf numFmtId="0" fontId="8" fillId="3" borderId="2" xfId="6" applyFont="1" applyFill="1" applyBorder="1" applyAlignment="1">
      <alignment vertical="center" wrapText="1"/>
    </xf>
    <xf numFmtId="0" fontId="8" fillId="3" borderId="8" xfId="6" applyFont="1" applyFill="1" applyBorder="1" applyAlignment="1">
      <alignment vertical="center" wrapText="1"/>
    </xf>
    <xf numFmtId="0" fontId="8" fillId="3" borderId="21" xfId="6" applyFont="1" applyFill="1" applyBorder="1" applyAlignment="1">
      <alignment vertical="center" wrapText="1"/>
    </xf>
    <xf numFmtId="0" fontId="8" fillId="3" borderId="16" xfId="6" applyFont="1" applyFill="1" applyBorder="1" applyAlignment="1">
      <alignment vertical="center" wrapText="1"/>
    </xf>
    <xf numFmtId="0" fontId="83" fillId="0" borderId="15" xfId="0" applyFont="1" applyBorder="1" applyAlignment="1">
      <alignment vertical="center"/>
    </xf>
    <xf numFmtId="0" fontId="83" fillId="0" borderId="15" xfId="0" applyFont="1" applyBorder="1" applyAlignment="1">
      <alignment vertical="center" wrapText="1"/>
    </xf>
    <xf numFmtId="0" fontId="85" fillId="4" borderId="2" xfId="0" applyFont="1" applyFill="1" applyBorder="1" applyAlignment="1">
      <alignment wrapText="1"/>
    </xf>
    <xf numFmtId="0" fontId="85" fillId="0" borderId="2" xfId="0" applyFont="1" applyFill="1" applyBorder="1" applyAlignment="1">
      <alignment wrapText="1"/>
    </xf>
    <xf numFmtId="0" fontId="8" fillId="3" borderId="1" xfId="6" applyFont="1" applyFill="1" applyBorder="1" applyAlignment="1">
      <alignment horizontal="center" vertical="center"/>
    </xf>
    <xf numFmtId="4" fontId="8" fillId="3" borderId="5" xfId="6" applyNumberFormat="1" applyFont="1" applyFill="1" applyBorder="1" applyAlignment="1">
      <alignment horizontal="center" vertical="center"/>
    </xf>
    <xf numFmtId="4" fontId="7" fillId="3" borderId="1" xfId="6" applyNumberFormat="1" applyFont="1" applyFill="1" applyBorder="1" applyAlignment="1" applyProtection="1">
      <alignment horizontal="center" vertical="center"/>
      <protection locked="0"/>
    </xf>
    <xf numFmtId="4" fontId="8" fillId="3" borderId="0" xfId="6" applyNumberFormat="1" applyFont="1" applyFill="1" applyBorder="1" applyAlignment="1">
      <alignment horizontal="center" vertical="center"/>
    </xf>
    <xf numFmtId="0" fontId="8" fillId="3" borderId="0" xfId="6" applyFont="1" applyFill="1" applyBorder="1" applyAlignment="1" applyProtection="1">
      <alignment vertical="center"/>
      <protection locked="0"/>
    </xf>
    <xf numFmtId="49" fontId="20" fillId="3" borderId="0" xfId="6" applyNumberFormat="1" applyFont="1" applyFill="1" applyBorder="1" applyAlignment="1">
      <alignment vertical="top" wrapText="1" readingOrder="1"/>
    </xf>
    <xf numFmtId="0" fontId="8" fillId="3" borderId="0" xfId="6" applyFont="1" applyFill="1" applyBorder="1" applyAlignment="1">
      <alignment horizontal="center" vertical="center" wrapText="1"/>
    </xf>
    <xf numFmtId="4" fontId="8" fillId="3" borderId="0" xfId="6" applyNumberFormat="1" applyFont="1" applyFill="1" applyBorder="1" applyAlignment="1">
      <alignment horizontal="center" vertical="center" wrapText="1"/>
    </xf>
    <xf numFmtId="4" fontId="7" fillId="3" borderId="0" xfId="6" applyNumberFormat="1" applyFont="1" applyFill="1" applyBorder="1" applyAlignment="1">
      <alignment horizontal="center" vertical="center"/>
    </xf>
    <xf numFmtId="4" fontId="8" fillId="3" borderId="1" xfId="6" applyNumberFormat="1" applyFont="1" applyFill="1" applyBorder="1" applyAlignment="1">
      <alignment horizontal="center" vertical="center"/>
    </xf>
    <xf numFmtId="4" fontId="8" fillId="3" borderId="6" xfId="6" applyNumberFormat="1" applyFont="1" applyFill="1" applyBorder="1" applyAlignment="1">
      <alignment horizontal="center" vertical="center"/>
    </xf>
    <xf numFmtId="4" fontId="8" fillId="3" borderId="7" xfId="6" applyNumberFormat="1" applyFont="1" applyFill="1" applyBorder="1" applyAlignment="1">
      <alignment horizontal="center" vertical="center"/>
    </xf>
    <xf numFmtId="0" fontId="2" fillId="3" borderId="0" xfId="6" applyFont="1" applyFill="1" applyBorder="1" applyAlignment="1">
      <alignment horizontal="center"/>
    </xf>
    <xf numFmtId="0" fontId="85" fillId="3" borderId="13" xfId="6" applyFont="1" applyFill="1" applyBorder="1" applyAlignment="1">
      <alignment horizontal="center" vertical="center" wrapText="1"/>
    </xf>
    <xf numFmtId="0" fontId="85" fillId="3" borderId="19" xfId="6" applyFont="1" applyFill="1" applyBorder="1" applyAlignment="1">
      <alignment horizontal="center" vertical="center" wrapText="1"/>
    </xf>
    <xf numFmtId="0" fontId="85" fillId="3" borderId="0" xfId="6" applyFont="1" applyFill="1" applyBorder="1" applyAlignment="1">
      <alignment horizontal="center" vertical="center" wrapText="1"/>
    </xf>
    <xf numFmtId="0" fontId="2" fillId="0" borderId="2" xfId="6" applyFont="1" applyFill="1" applyBorder="1" applyAlignment="1">
      <alignment horizontal="left" vertical="center" wrapText="1"/>
    </xf>
    <xf numFmtId="0" fontId="2" fillId="3" borderId="1" xfId="6" applyFont="1" applyFill="1" applyBorder="1" applyAlignment="1">
      <alignment horizontal="left"/>
    </xf>
    <xf numFmtId="0" fontId="2" fillId="0" borderId="8" xfId="6" applyFont="1" applyFill="1" applyBorder="1" applyAlignment="1">
      <alignment horizontal="left" vertical="center" wrapText="1"/>
    </xf>
    <xf numFmtId="0" fontId="2" fillId="3" borderId="6" xfId="6" applyFont="1" applyFill="1" applyBorder="1" applyAlignment="1">
      <alignment horizontal="left"/>
    </xf>
    <xf numFmtId="0" fontId="2" fillId="3" borderId="6" xfId="6" applyFont="1" applyFill="1" applyBorder="1" applyAlignment="1">
      <alignment horizontal="center" vertical="center" wrapText="1"/>
    </xf>
    <xf numFmtId="0" fontId="2" fillId="3" borderId="7" xfId="6" applyFont="1" applyFill="1" applyBorder="1" applyAlignment="1">
      <alignment horizontal="center" vertical="center" wrapText="1"/>
    </xf>
    <xf numFmtId="4" fontId="2" fillId="22" borderId="11" xfId="6" applyNumberFormat="1" applyFont="1" applyFill="1" applyBorder="1" applyAlignment="1">
      <alignment horizontal="center" vertical="center" wrapText="1"/>
    </xf>
    <xf numFmtId="4" fontId="2" fillId="22" borderId="12" xfId="6" applyNumberFormat="1" applyFont="1" applyFill="1" applyBorder="1" applyAlignment="1">
      <alignment horizontal="center" vertical="center" wrapText="1"/>
    </xf>
    <xf numFmtId="4" fontId="2" fillId="3" borderId="0" xfId="6" applyNumberFormat="1" applyFont="1" applyFill="1" applyBorder="1" applyAlignment="1">
      <alignment horizontal="center" vertical="center" wrapText="1"/>
    </xf>
    <xf numFmtId="0" fontId="2" fillId="3" borderId="11" xfId="6" applyFont="1" applyFill="1" applyBorder="1" applyAlignment="1">
      <alignment horizontal="left"/>
    </xf>
    <xf numFmtId="4" fontId="2" fillId="3" borderId="11" xfId="6" applyNumberFormat="1" applyFont="1" applyFill="1" applyBorder="1" applyAlignment="1">
      <alignment horizontal="center" vertical="center" wrapText="1"/>
    </xf>
    <xf numFmtId="16" fontId="12" fillId="3" borderId="1" xfId="6" applyNumberFormat="1" applyFont="1" applyFill="1" applyBorder="1" applyAlignment="1">
      <alignment horizontal="left" vertical="center"/>
    </xf>
    <xf numFmtId="4" fontId="2" fillId="3" borderId="5" xfId="6" applyNumberFormat="1" applyFont="1" applyFill="1" applyBorder="1" applyAlignment="1">
      <alignment horizontal="center" vertical="center" wrapText="1"/>
    </xf>
    <xf numFmtId="14" fontId="12" fillId="3" borderId="1" xfId="6" applyNumberFormat="1" applyFont="1" applyFill="1" applyBorder="1" applyAlignment="1">
      <alignment horizontal="left" vertical="center"/>
    </xf>
    <xf numFmtId="0" fontId="12" fillId="3" borderId="1" xfId="6" applyFont="1" applyFill="1" applyBorder="1" applyAlignment="1">
      <alignment horizontal="left" vertical="center"/>
    </xf>
    <xf numFmtId="0" fontId="2" fillId="3" borderId="3" xfId="6" applyFont="1" applyFill="1" applyBorder="1" applyAlignment="1">
      <alignment horizontal="left"/>
    </xf>
    <xf numFmtId="4" fontId="2" fillId="3" borderId="6" xfId="6" applyNumberFormat="1" applyFont="1" applyFill="1" applyBorder="1" applyAlignment="1">
      <alignment horizontal="center" vertical="center" wrapText="1"/>
    </xf>
    <xf numFmtId="4" fontId="2" fillId="3" borderId="7" xfId="6" applyNumberFormat="1" applyFont="1" applyFill="1" applyBorder="1" applyAlignment="1">
      <alignment horizontal="center" vertical="center" wrapText="1"/>
    </xf>
    <xf numFmtId="14" fontId="23" fillId="3" borderId="1" xfId="6" applyNumberFormat="1" applyFont="1" applyFill="1" applyBorder="1" applyAlignment="1">
      <alignment horizontal="left" vertical="center"/>
    </xf>
    <xf numFmtId="4" fontId="85" fillId="3" borderId="0" xfId="0" applyNumberFormat="1" applyFont="1" applyFill="1" applyBorder="1"/>
    <xf numFmtId="0" fontId="80" fillId="21" borderId="2" xfId="0" applyFont="1" applyFill="1" applyBorder="1" applyAlignment="1">
      <alignment horizontal="center"/>
    </xf>
    <xf numFmtId="4" fontId="85" fillId="21" borderId="1" xfId="0" applyNumberFormat="1" applyFont="1" applyFill="1" applyBorder="1" applyAlignment="1">
      <alignment horizontal="center"/>
    </xf>
    <xf numFmtId="4" fontId="85" fillId="21" borderId="5" xfId="0" applyNumberFormat="1" applyFont="1" applyFill="1" applyBorder="1" applyAlignment="1">
      <alignment horizontal="center"/>
    </xf>
    <xf numFmtId="4" fontId="85" fillId="21" borderId="25" xfId="0" applyNumberFormat="1" applyFont="1" applyFill="1" applyBorder="1"/>
    <xf numFmtId="0" fontId="80" fillId="6" borderId="2" xfId="0" applyFont="1" applyFill="1" applyBorder="1" applyAlignment="1">
      <alignment horizontal="center"/>
    </xf>
    <xf numFmtId="16" fontId="2" fillId="6" borderId="1" xfId="6" applyNumberFormat="1" applyFont="1" applyFill="1" applyBorder="1" applyAlignment="1">
      <alignment horizontal="left" wrapText="1" indent="2"/>
    </xf>
    <xf numFmtId="4" fontId="85" fillId="6" borderId="5" xfId="0" applyNumberFormat="1" applyFont="1" applyFill="1" applyBorder="1" applyAlignment="1">
      <alignment horizontal="center"/>
    </xf>
    <xf numFmtId="4" fontId="85" fillId="6" borderId="25" xfId="0" applyNumberFormat="1" applyFont="1" applyFill="1" applyBorder="1"/>
    <xf numFmtId="0" fontId="80" fillId="0" borderId="2" xfId="0" applyFont="1" applyBorder="1" applyAlignment="1">
      <alignment horizontal="center"/>
    </xf>
    <xf numFmtId="16" fontId="6" fillId="3" borderId="1" xfId="6" applyNumberFormat="1" applyFont="1" applyFill="1" applyBorder="1" applyAlignment="1">
      <alignment horizontal="left" wrapText="1" indent="2"/>
    </xf>
    <xf numFmtId="4" fontId="85" fillId="3" borderId="5" xfId="0" applyNumberFormat="1" applyFont="1" applyFill="1" applyBorder="1" applyAlignment="1">
      <alignment horizontal="center"/>
    </xf>
    <xf numFmtId="16" fontId="2" fillId="3" borderId="1" xfId="6" applyNumberFormat="1" applyFont="1" applyFill="1" applyBorder="1" applyAlignment="1">
      <alignment wrapText="1"/>
    </xf>
    <xf numFmtId="0" fontId="2" fillId="0" borderId="1" xfId="6" applyFont="1" applyFill="1" applyBorder="1" applyAlignment="1" applyProtection="1">
      <alignment horizontal="center" vertical="center"/>
      <protection locked="0"/>
    </xf>
    <xf numFmtId="0" fontId="12" fillId="3" borderId="1" xfId="6" applyFont="1" applyFill="1" applyBorder="1" applyAlignment="1" applyProtection="1">
      <alignment vertical="center"/>
      <protection locked="0"/>
    </xf>
    <xf numFmtId="4" fontId="12" fillId="0" borderId="1" xfId="6" applyNumberFormat="1" applyFont="1" applyFill="1" applyBorder="1" applyAlignment="1" applyProtection="1">
      <alignment vertical="center"/>
      <protection locked="0"/>
    </xf>
    <xf numFmtId="182" fontId="12" fillId="0" borderId="1" xfId="6" applyNumberFormat="1" applyFont="1" applyFill="1" applyBorder="1" applyAlignment="1" applyProtection="1">
      <alignment vertical="center"/>
      <protection locked="0"/>
    </xf>
    <xf numFmtId="4" fontId="80" fillId="0" borderId="0" xfId="0" applyNumberFormat="1" applyFont="1" applyBorder="1" applyAlignment="1">
      <alignment horizontal="left" vertical="center" indent="2"/>
    </xf>
    <xf numFmtId="0" fontId="12" fillId="3" borderId="0" xfId="6" applyFont="1" applyFill="1" applyBorder="1" applyAlignment="1" applyProtection="1">
      <alignment vertical="center"/>
      <protection locked="0"/>
    </xf>
    <xf numFmtId="0" fontId="12" fillId="3" borderId="0" xfId="6" applyFont="1" applyFill="1" applyBorder="1" applyAlignment="1">
      <alignment vertical="center"/>
    </xf>
    <xf numFmtId="0" fontId="80" fillId="21" borderId="21" xfId="0" applyFont="1" applyFill="1" applyBorder="1" applyAlignment="1">
      <alignment horizontal="center"/>
    </xf>
    <xf numFmtId="16" fontId="2" fillId="21" borderId="11" xfId="6" applyNumberFormat="1" applyFont="1" applyFill="1" applyBorder="1" applyAlignment="1">
      <alignment horizontal="left" wrapText="1" indent="2"/>
    </xf>
    <xf numFmtId="4" fontId="85" fillId="21" borderId="26" xfId="0" applyNumberFormat="1" applyFont="1" applyFill="1" applyBorder="1"/>
    <xf numFmtId="4" fontId="85" fillId="21" borderId="11" xfId="0" applyNumberFormat="1" applyFont="1" applyFill="1" applyBorder="1"/>
    <xf numFmtId="4" fontId="85" fillId="21" borderId="12" xfId="0" applyNumberFormat="1" applyFont="1" applyFill="1" applyBorder="1"/>
    <xf numFmtId="0" fontId="23" fillId="3" borderId="1" xfId="6" applyFont="1" applyFill="1" applyBorder="1" applyAlignment="1">
      <alignment horizontal="left" vertical="center"/>
    </xf>
    <xf numFmtId="14" fontId="23" fillId="3" borderId="6" xfId="6" applyNumberFormat="1" applyFont="1" applyFill="1" applyBorder="1" applyAlignment="1">
      <alignment horizontal="left" vertical="center"/>
    </xf>
    <xf numFmtId="0" fontId="2" fillId="0" borderId="15" xfId="6" applyFont="1" applyFill="1" applyBorder="1" applyAlignment="1">
      <alignment horizontal="left" vertical="center" wrapText="1"/>
    </xf>
    <xf numFmtId="0" fontId="2" fillId="22" borderId="21" xfId="6" applyFont="1" applyFill="1" applyBorder="1" applyAlignment="1">
      <alignment horizontal="center" vertical="center"/>
    </xf>
    <xf numFmtId="0" fontId="2" fillId="22" borderId="11" xfId="6" applyFont="1" applyFill="1" applyBorder="1" applyAlignment="1">
      <alignment horizontal="left"/>
    </xf>
    <xf numFmtId="182" fontId="2" fillId="3" borderId="1" xfId="6" applyNumberFormat="1" applyFont="1" applyFill="1" applyBorder="1" applyAlignment="1">
      <alignment horizontal="center" vertical="center" wrapText="1"/>
    </xf>
    <xf numFmtId="182" fontId="2" fillId="3" borderId="6" xfId="6" applyNumberFormat="1" applyFont="1" applyFill="1" applyBorder="1" applyAlignment="1">
      <alignment horizontal="center" vertical="center" wrapText="1"/>
    </xf>
    <xf numFmtId="1" fontId="2" fillId="3" borderId="3" xfId="6" applyNumberFormat="1" applyFont="1" applyFill="1" applyBorder="1" applyAlignment="1">
      <alignment horizontal="center" vertical="center" wrapText="1"/>
    </xf>
    <xf numFmtId="0" fontId="19" fillId="0" borderId="0" xfId="6" applyFont="1" applyFill="1" applyBorder="1" applyAlignment="1">
      <alignment horizontal="center" vertical="center"/>
    </xf>
    <xf numFmtId="0" fontId="19" fillId="3" borderId="2" xfId="6" applyFont="1" applyFill="1" applyBorder="1" applyAlignment="1">
      <alignment horizontal="left" vertical="center" wrapText="1"/>
    </xf>
    <xf numFmtId="0" fontId="19" fillId="0" borderId="2" xfId="6" applyFont="1" applyFill="1" applyBorder="1" applyAlignment="1">
      <alignment horizontal="left" vertical="center" wrapText="1"/>
    </xf>
    <xf numFmtId="0" fontId="20" fillId="0" borderId="2" xfId="6" applyFont="1" applyFill="1" applyBorder="1" applyAlignment="1">
      <alignment horizontal="left" vertical="center" wrapText="1"/>
    </xf>
    <xf numFmtId="0" fontId="19" fillId="0" borderId="2" xfId="6" applyFont="1" applyFill="1" applyBorder="1" applyAlignment="1">
      <alignment horizontal="left" vertical="center" wrapText="1" indent="1"/>
    </xf>
    <xf numFmtId="0" fontId="20" fillId="0" borderId="2" xfId="6" applyFont="1" applyFill="1" applyBorder="1" applyAlignment="1">
      <alignment horizontal="left" vertical="center" wrapText="1" indent="2"/>
    </xf>
    <xf numFmtId="0" fontId="20" fillId="0" borderId="8" xfId="6" applyFont="1" applyFill="1" applyBorder="1" applyAlignment="1">
      <alignment horizontal="left" vertical="center" wrapText="1" indent="2"/>
    </xf>
    <xf numFmtId="0" fontId="2" fillId="3" borderId="6" xfId="6" applyFont="1" applyFill="1" applyBorder="1" applyAlignment="1">
      <alignment horizontal="left" indent="1"/>
    </xf>
    <xf numFmtId="0" fontId="2" fillId="0" borderId="21" xfId="6" applyFont="1" applyFill="1" applyBorder="1" applyAlignment="1">
      <alignment horizontal="left" vertical="center" wrapText="1"/>
    </xf>
    <xf numFmtId="180" fontId="2" fillId="3" borderId="3" xfId="6" applyNumberFormat="1" applyFont="1" applyFill="1" applyBorder="1" applyAlignment="1">
      <alignment horizontal="center" vertical="center" wrapText="1"/>
    </xf>
    <xf numFmtId="180" fontId="2" fillId="3" borderId="1" xfId="6" applyNumberFormat="1" applyFont="1" applyFill="1" applyBorder="1" applyAlignment="1">
      <alignment horizontal="center" vertical="center" wrapText="1"/>
    </xf>
    <xf numFmtId="180" fontId="2" fillId="3" borderId="6" xfId="6" applyNumberFormat="1" applyFont="1" applyFill="1" applyBorder="1" applyAlignment="1">
      <alignment horizontal="center" vertical="center" wrapText="1"/>
    </xf>
    <xf numFmtId="0" fontId="95" fillId="0" borderId="1" xfId="0" applyFont="1" applyBorder="1" applyAlignment="1">
      <alignment horizontal="left" vertical="center" wrapText="1"/>
    </xf>
    <xf numFmtId="0" fontId="81" fillId="0" borderId="0" xfId="0" applyFont="1" applyAlignment="1">
      <alignment wrapText="1"/>
    </xf>
    <xf numFmtId="0" fontId="80" fillId="6" borderId="14" xfId="0" applyFont="1" applyFill="1" applyBorder="1" applyAlignment="1">
      <alignment horizontal="center"/>
    </xf>
    <xf numFmtId="16" fontId="2" fillId="6" borderId="13" xfId="6" applyNumberFormat="1" applyFont="1" applyFill="1" applyBorder="1" applyAlignment="1">
      <alignment horizontal="left" wrapText="1" indent="2"/>
    </xf>
    <xf numFmtId="4" fontId="85" fillId="6" borderId="27" xfId="0" applyNumberFormat="1" applyFont="1" applyFill="1" applyBorder="1"/>
    <xf numFmtId="4" fontId="85" fillId="6" borderId="13" xfId="0" applyNumberFormat="1" applyFont="1" applyFill="1" applyBorder="1" applyAlignment="1">
      <alignment horizontal="center"/>
    </xf>
    <xf numFmtId="4" fontId="85" fillId="6" borderId="19" xfId="0" applyNumberFormat="1" applyFont="1" applyFill="1" applyBorder="1" applyAlignment="1">
      <alignment horizontal="center"/>
    </xf>
    <xf numFmtId="16" fontId="6" fillId="3" borderId="1" xfId="6" applyNumberFormat="1" applyFont="1" applyFill="1" applyBorder="1" applyAlignment="1">
      <alignment horizontal="left" vertical="center" indent="2"/>
    </xf>
    <xf numFmtId="0" fontId="80" fillId="0" borderId="15" xfId="0" applyFont="1" applyBorder="1" applyAlignment="1">
      <alignment horizontal="center"/>
    </xf>
    <xf numFmtId="16" fontId="6" fillId="3" borderId="3" xfId="6" applyNumberFormat="1" applyFont="1" applyFill="1" applyBorder="1" applyAlignment="1">
      <alignment horizontal="left" wrapText="1" indent="2"/>
    </xf>
    <xf numFmtId="4" fontId="85" fillId="3" borderId="3" xfId="0" applyNumberFormat="1" applyFont="1" applyFill="1" applyBorder="1"/>
    <xf numFmtId="4" fontId="85" fillId="3" borderId="4" xfId="0" applyNumberFormat="1" applyFont="1" applyFill="1" applyBorder="1" applyAlignment="1">
      <alignment horizontal="center"/>
    </xf>
    <xf numFmtId="0" fontId="80" fillId="12" borderId="8" xfId="0" applyFont="1" applyFill="1" applyBorder="1" applyAlignment="1">
      <alignment horizontal="center"/>
    </xf>
    <xf numFmtId="16" fontId="6" fillId="12" borderId="6" xfId="6" applyNumberFormat="1" applyFont="1" applyFill="1" applyBorder="1" applyAlignment="1">
      <alignment horizontal="left" vertical="center" indent="2"/>
    </xf>
    <xf numFmtId="4" fontId="85" fillId="12" borderId="6" xfId="0" applyNumberFormat="1" applyFont="1" applyFill="1" applyBorder="1"/>
    <xf numFmtId="4" fontId="85" fillId="12" borderId="6" xfId="0" applyNumberFormat="1" applyFont="1" applyFill="1" applyBorder="1" applyAlignment="1">
      <alignment horizontal="center"/>
    </xf>
    <xf numFmtId="4" fontId="85" fillId="12" borderId="7" xfId="0" applyNumberFormat="1" applyFont="1" applyFill="1" applyBorder="1"/>
    <xf numFmtId="0" fontId="2" fillId="3" borderId="0" xfId="6" applyFont="1" applyFill="1" applyBorder="1" applyAlignment="1">
      <alignment horizontal="left" vertical="center"/>
    </xf>
    <xf numFmtId="4" fontId="2" fillId="3" borderId="0" xfId="6" applyNumberFormat="1" applyFont="1" applyFill="1" applyBorder="1" applyAlignment="1">
      <alignment vertical="center"/>
    </xf>
    <xf numFmtId="0" fontId="85" fillId="0" borderId="9" xfId="6" applyFont="1" applyFill="1" applyBorder="1" applyAlignment="1">
      <alignment horizontal="left" vertical="center" wrapText="1"/>
    </xf>
    <xf numFmtId="0" fontId="77" fillId="3" borderId="0" xfId="0" applyFont="1" applyFill="1" applyBorder="1" applyAlignment="1">
      <alignment wrapText="1"/>
    </xf>
    <xf numFmtId="0" fontId="77" fillId="3" borderId="0" xfId="0" applyFont="1" applyFill="1" applyBorder="1" applyAlignment="1">
      <alignment horizontal="left" wrapText="1" indent="2"/>
    </xf>
    <xf numFmtId="0" fontId="6" fillId="0" borderId="0" xfId="6" applyFont="1" applyFill="1" applyBorder="1" applyAlignment="1" applyProtection="1">
      <alignment vertical="center"/>
      <protection locked="0"/>
    </xf>
    <xf numFmtId="0" fontId="81" fillId="0" borderId="3" xfId="0" applyFont="1" applyBorder="1" applyAlignment="1">
      <alignment horizontal="left" vertical="center" wrapText="1"/>
    </xf>
    <xf numFmtId="0" fontId="2" fillId="3" borderId="1" xfId="6" applyFont="1" applyFill="1" applyBorder="1" applyAlignment="1">
      <alignment horizontal="left" indent="2"/>
    </xf>
    <xf numFmtId="0" fontId="2" fillId="3" borderId="9" xfId="6" applyFont="1" applyFill="1" applyBorder="1" applyAlignment="1">
      <alignment wrapText="1"/>
    </xf>
    <xf numFmtId="0" fontId="2" fillId="3" borderId="1" xfId="6" applyFont="1" applyFill="1" applyBorder="1" applyAlignment="1">
      <alignment horizontal="left" indent="3"/>
    </xf>
    <xf numFmtId="0" fontId="2" fillId="3" borderId="1" xfId="6" applyFont="1" applyFill="1" applyBorder="1" applyAlignment="1">
      <alignment horizontal="left" indent="1"/>
    </xf>
    <xf numFmtId="0" fontId="6" fillId="22" borderId="11" xfId="6" applyFont="1" applyFill="1" applyBorder="1" applyAlignment="1">
      <alignment horizontal="left" vertical="center" wrapText="1"/>
    </xf>
    <xf numFmtId="0" fontId="2" fillId="3" borderId="1" xfId="6" applyFont="1" applyFill="1" applyBorder="1" applyAlignment="1">
      <alignment horizontal="left" vertical="center" wrapText="1" indent="1"/>
    </xf>
    <xf numFmtId="0" fontId="6" fillId="21" borderId="28" xfId="6" applyFont="1" applyFill="1" applyBorder="1" applyAlignment="1">
      <alignment horizontal="left" vertical="center" wrapText="1"/>
    </xf>
    <xf numFmtId="0" fontId="6" fillId="21" borderId="1" xfId="6" applyFont="1" applyFill="1" applyBorder="1" applyAlignment="1">
      <alignment horizontal="left" vertical="center" wrapText="1"/>
    </xf>
    <xf numFmtId="0" fontId="6" fillId="6" borderId="1" xfId="6" applyFont="1" applyFill="1" applyBorder="1" applyAlignment="1">
      <alignment horizontal="left" vertical="center" wrapText="1"/>
    </xf>
    <xf numFmtId="0" fontId="6" fillId="6" borderId="13" xfId="6" applyFont="1" applyFill="1" applyBorder="1" applyAlignment="1">
      <alignment horizontal="left" vertical="center" wrapText="1"/>
    </xf>
    <xf numFmtId="0" fontId="6" fillId="12" borderId="6" xfId="6" applyFont="1" applyFill="1" applyBorder="1" applyAlignment="1">
      <alignment horizontal="left" vertical="center" wrapText="1"/>
    </xf>
    <xf numFmtId="0" fontId="2" fillId="0" borderId="9" xfId="6" applyFont="1" applyFill="1" applyBorder="1" applyAlignment="1" applyProtection="1">
      <alignment horizontal="left" vertical="center" wrapText="1"/>
      <protection locked="0"/>
    </xf>
    <xf numFmtId="0" fontId="2" fillId="3" borderId="29" xfId="6" applyFont="1" applyFill="1" applyBorder="1" applyAlignment="1">
      <alignment horizontal="center"/>
    </xf>
    <xf numFmtId="0" fontId="81" fillId="0" borderId="6" xfId="0" applyFont="1" applyBorder="1" applyAlignment="1">
      <alignment horizontal="left" vertical="center" wrapText="1"/>
    </xf>
    <xf numFmtId="0" fontId="2" fillId="3" borderId="24" xfId="6" applyFont="1" applyFill="1" applyBorder="1" applyAlignment="1">
      <alignment wrapText="1"/>
    </xf>
    <xf numFmtId="0" fontId="2" fillId="0" borderId="30" xfId="6" applyFont="1" applyFill="1" applyBorder="1" applyAlignment="1">
      <alignment horizontal="left" vertical="center" wrapText="1"/>
    </xf>
    <xf numFmtId="0" fontId="2" fillId="3" borderId="31" xfId="6" applyFont="1" applyFill="1" applyBorder="1" applyAlignment="1">
      <alignment horizontal="left"/>
    </xf>
    <xf numFmtId="4" fontId="2" fillId="3" borderId="31" xfId="6" applyNumberFormat="1" applyFont="1" applyFill="1" applyBorder="1" applyAlignment="1">
      <alignment horizontal="center" vertical="center" wrapText="1"/>
    </xf>
    <xf numFmtId="0" fontId="2" fillId="3" borderId="32" xfId="6" applyFont="1" applyFill="1" applyBorder="1" applyAlignment="1">
      <alignment wrapText="1"/>
    </xf>
    <xf numFmtId="0" fontId="2" fillId="3" borderId="3" xfId="6" applyFont="1" applyFill="1" applyBorder="1" applyAlignment="1">
      <alignment horizontal="left" indent="2"/>
    </xf>
    <xf numFmtId="0" fontId="2" fillId="3" borderId="6" xfId="6" applyFont="1" applyFill="1" applyBorder="1" applyAlignment="1">
      <alignment horizontal="left" indent="2"/>
    </xf>
    <xf numFmtId="0" fontId="2" fillId="3" borderId="6" xfId="6" applyFont="1" applyFill="1" applyBorder="1" applyAlignment="1">
      <alignment horizontal="left" indent="3"/>
    </xf>
    <xf numFmtId="0" fontId="8" fillId="0" borderId="1" xfId="0" applyFont="1" applyBorder="1" applyAlignment="1">
      <alignment horizontal="center" vertical="center"/>
    </xf>
    <xf numFmtId="0" fontId="103" fillId="0" borderId="0" xfId="0" applyFont="1"/>
    <xf numFmtId="0" fontId="106" fillId="0" borderId="0" xfId="6" applyFont="1" applyFill="1" applyBorder="1" applyAlignment="1">
      <alignment horizontal="left" vertical="center" wrapText="1"/>
    </xf>
    <xf numFmtId="0" fontId="103" fillId="0" borderId="0" xfId="0" applyFont="1" applyProtection="1">
      <protection locked="0"/>
    </xf>
    <xf numFmtId="0" fontId="83" fillId="0" borderId="0" xfId="0" applyFont="1" applyAlignment="1">
      <alignment horizontal="center" vertical="center"/>
    </xf>
    <xf numFmtId="16" fontId="22" fillId="3" borderId="30" xfId="6" applyNumberFormat="1" applyFont="1" applyFill="1" applyBorder="1" applyAlignment="1">
      <alignment horizontal="left" wrapText="1" indent="2"/>
    </xf>
    <xf numFmtId="4" fontId="83" fillId="6" borderId="31" xfId="0" applyNumberFormat="1" applyFont="1" applyFill="1" applyBorder="1"/>
    <xf numFmtId="4" fontId="85" fillId="0" borderId="11" xfId="0" applyNumberFormat="1" applyFont="1" applyBorder="1" applyProtection="1">
      <protection locked="0"/>
    </xf>
    <xf numFmtId="16" fontId="17" fillId="3" borderId="15" xfId="6" applyNumberFormat="1" applyFont="1" applyFill="1" applyBorder="1" applyAlignment="1">
      <alignment horizontal="left" wrapText="1" indent="2"/>
    </xf>
    <xf numFmtId="4" fontId="83" fillId="6" borderId="3" xfId="0" applyNumberFormat="1" applyFont="1" applyFill="1" applyBorder="1" applyAlignment="1">
      <alignment horizontal="center"/>
    </xf>
    <xf numFmtId="0" fontId="19" fillId="0" borderId="0" xfId="6" applyFont="1" applyFill="1" applyBorder="1" applyAlignment="1">
      <alignment horizontal="left" vertical="center" wrapText="1"/>
    </xf>
    <xf numFmtId="0" fontId="19" fillId="3" borderId="0" xfId="6" applyFont="1" applyFill="1" applyBorder="1" applyAlignment="1">
      <alignment horizontal="left" vertical="center"/>
    </xf>
    <xf numFmtId="0" fontId="103" fillId="0" borderId="1" xfId="0" applyFont="1" applyBorder="1" applyAlignment="1" applyProtection="1">
      <alignment horizontal="center" vertical="center" wrapText="1"/>
    </xf>
    <xf numFmtId="180" fontId="85" fillId="3" borderId="0" xfId="0" applyNumberFormat="1" applyFont="1" applyFill="1" applyBorder="1" applyAlignment="1" applyProtection="1">
      <alignment horizontal="center" vertical="center"/>
    </xf>
    <xf numFmtId="4" fontId="105" fillId="3" borderId="0" xfId="0" applyNumberFormat="1" applyFont="1" applyFill="1" applyBorder="1" applyAlignment="1" applyProtection="1">
      <alignment horizontal="right"/>
    </xf>
    <xf numFmtId="0" fontId="21" fillId="0" borderId="0" xfId="6" applyFont="1" applyFill="1" applyBorder="1" applyAlignment="1">
      <alignment horizontal="right" vertical="center" wrapText="1"/>
    </xf>
    <xf numFmtId="0" fontId="85" fillId="3" borderId="33" xfId="0" applyNumberFormat="1" applyFont="1" applyFill="1" applyBorder="1" applyAlignment="1">
      <alignment horizontal="center" vertical="center" wrapText="1"/>
    </xf>
    <xf numFmtId="0" fontId="2" fillId="3" borderId="34" xfId="6" applyFont="1" applyFill="1" applyBorder="1" applyAlignment="1" applyProtection="1">
      <alignment horizontal="center" vertical="center"/>
    </xf>
    <xf numFmtId="0" fontId="2" fillId="3" borderId="21" xfId="6" applyFont="1" applyFill="1" applyBorder="1" applyAlignment="1" applyProtection="1">
      <alignment horizontal="center" vertical="center"/>
    </xf>
    <xf numFmtId="16" fontId="2" fillId="3" borderId="12" xfId="6" applyNumberFormat="1" applyFont="1" applyFill="1" applyBorder="1" applyAlignment="1" applyProtection="1">
      <alignment horizontal="center" vertical="center"/>
    </xf>
    <xf numFmtId="0" fontId="2" fillId="3" borderId="35" xfId="6" applyFont="1" applyFill="1" applyBorder="1" applyAlignment="1" applyProtection="1">
      <alignment horizontal="center" vertical="center"/>
    </xf>
    <xf numFmtId="1" fontId="17" fillId="3" borderId="1" xfId="6" applyNumberFormat="1" applyFont="1" applyFill="1" applyBorder="1" applyAlignment="1">
      <alignment horizontal="center" vertical="center" wrapText="1"/>
    </xf>
    <xf numFmtId="1" fontId="80" fillId="3" borderId="1" xfId="0" applyNumberFormat="1" applyFont="1" applyFill="1" applyBorder="1" applyAlignment="1">
      <alignment horizontal="center" vertical="center"/>
    </xf>
    <xf numFmtId="4" fontId="2" fillId="3" borderId="5" xfId="6" applyNumberFormat="1" applyFont="1" applyFill="1" applyBorder="1" applyAlignment="1" applyProtection="1">
      <alignment horizontal="center" vertical="center"/>
      <protection locked="0"/>
    </xf>
    <xf numFmtId="4" fontId="2" fillId="3" borderId="7" xfId="6" applyNumberFormat="1" applyFont="1" applyFill="1" applyBorder="1" applyAlignment="1" applyProtection="1">
      <alignment horizontal="center" vertical="center"/>
      <protection locked="0"/>
    </xf>
    <xf numFmtId="182" fontId="2" fillId="3" borderId="0" xfId="0" applyNumberFormat="1" applyFont="1" applyFill="1" applyBorder="1" applyAlignment="1" applyProtection="1">
      <alignment horizontal="center" vertical="center"/>
      <protection locked="0"/>
    </xf>
    <xf numFmtId="180" fontId="85" fillId="3" borderId="0" xfId="0" applyNumberFormat="1" applyFont="1" applyFill="1" applyBorder="1" applyAlignment="1" applyProtection="1">
      <alignment horizontal="center" vertical="center"/>
      <protection locked="0"/>
    </xf>
    <xf numFmtId="0" fontId="86" fillId="0" borderId="0" xfId="0" applyFont="1" applyFill="1" applyBorder="1" applyAlignment="1">
      <alignment horizontal="left" wrapText="1"/>
    </xf>
    <xf numFmtId="0" fontId="86" fillId="0" borderId="0" xfId="0" applyFont="1" applyFill="1" applyBorder="1" applyAlignment="1">
      <alignment horizontal="center"/>
    </xf>
    <xf numFmtId="182" fontId="86" fillId="3" borderId="0" xfId="0" applyNumberFormat="1" applyFont="1" applyFill="1" applyBorder="1" applyAlignment="1" applyProtection="1">
      <alignment horizontal="center" vertical="center"/>
      <protection locked="0"/>
    </xf>
    <xf numFmtId="4" fontId="2" fillId="3" borderId="0" xfId="6" applyNumberFormat="1"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protection locked="0"/>
    </xf>
    <xf numFmtId="180" fontId="103" fillId="0" borderId="2" xfId="0" applyNumberFormat="1" applyFont="1" applyFill="1" applyBorder="1" applyAlignment="1" applyProtection="1">
      <alignment horizontal="center" vertical="center" wrapText="1"/>
    </xf>
    <xf numFmtId="0" fontId="85" fillId="3" borderId="3" xfId="0" applyFont="1" applyFill="1" applyBorder="1" applyAlignment="1">
      <alignment horizontal="left" vertical="center" wrapText="1"/>
    </xf>
    <xf numFmtId="0" fontId="85" fillId="3" borderId="6" xfId="0" applyFont="1" applyFill="1" applyBorder="1" applyAlignment="1">
      <alignment horizontal="left" vertical="center" wrapText="1"/>
    </xf>
    <xf numFmtId="4" fontId="2" fillId="3" borderId="6" xfId="6" applyNumberFormat="1" applyFont="1" applyFill="1" applyBorder="1" applyAlignment="1" applyProtection="1">
      <alignment horizontal="center" vertical="center" wrapText="1"/>
    </xf>
    <xf numFmtId="0" fontId="80" fillId="0" borderId="3" xfId="0" applyFont="1" applyBorder="1" applyAlignment="1">
      <alignment horizontal="center" vertical="center" wrapText="1"/>
    </xf>
    <xf numFmtId="0" fontId="85" fillId="3" borderId="11" xfId="0" applyFont="1" applyFill="1" applyBorder="1" applyAlignment="1">
      <alignment horizontal="left" vertical="center" wrapText="1"/>
    </xf>
    <xf numFmtId="4" fontId="2" fillId="3" borderId="0" xfId="6" applyNumberFormat="1" applyFont="1" applyFill="1" applyBorder="1" applyAlignment="1" applyProtection="1">
      <alignment horizontal="center" vertical="center" wrapText="1"/>
    </xf>
    <xf numFmtId="0" fontId="85" fillId="3" borderId="1" xfId="0" applyFont="1" applyFill="1" applyBorder="1" applyAlignment="1">
      <alignment horizontal="left" vertical="center" wrapText="1"/>
    </xf>
    <xf numFmtId="0" fontId="85" fillId="3" borderId="13" xfId="0" applyFont="1" applyFill="1" applyBorder="1" applyAlignment="1">
      <alignment horizontal="left" vertical="center" wrapText="1"/>
    </xf>
    <xf numFmtId="0" fontId="2" fillId="3" borderId="1" xfId="6" applyFont="1" applyFill="1" applyBorder="1" applyAlignment="1">
      <alignment horizontal="center" vertical="center"/>
    </xf>
    <xf numFmtId="0" fontId="83" fillId="0" borderId="0" xfId="0" applyFont="1" applyAlignment="1">
      <alignment horizontal="center" vertical="center"/>
    </xf>
    <xf numFmtId="0" fontId="8" fillId="3" borderId="1" xfId="6" applyFont="1" applyFill="1" applyBorder="1" applyAlignment="1">
      <alignment horizontal="center" vertical="center"/>
    </xf>
    <xf numFmtId="0" fontId="6" fillId="0" borderId="9" xfId="6" applyFont="1" applyFill="1" applyBorder="1" applyAlignment="1">
      <alignment horizontal="left" vertical="center" wrapText="1"/>
    </xf>
    <xf numFmtId="0" fontId="2" fillId="3" borderId="1" xfId="6" applyFont="1" applyFill="1" applyBorder="1" applyAlignment="1">
      <alignment horizontal="left" vertical="center" wrapText="1"/>
    </xf>
    <xf numFmtId="0" fontId="6" fillId="3" borderId="1" xfId="6" applyFont="1" applyFill="1" applyBorder="1" applyAlignment="1">
      <alignment horizontal="left" vertical="center" wrapText="1"/>
    </xf>
    <xf numFmtId="0" fontId="17" fillId="3" borderId="1" xfId="6" applyFont="1" applyFill="1" applyBorder="1" applyAlignment="1">
      <alignment horizontal="center" wrapText="1"/>
    </xf>
    <xf numFmtId="3" fontId="2" fillId="3" borderId="0" xfId="6" applyNumberFormat="1" applyFont="1" applyFill="1" applyBorder="1" applyAlignment="1">
      <alignment horizontal="center" vertical="center" wrapText="1"/>
    </xf>
    <xf numFmtId="16" fontId="17" fillId="3" borderId="2" xfId="6" applyNumberFormat="1" applyFont="1" applyFill="1" applyBorder="1" applyAlignment="1">
      <alignment horizontal="left" wrapText="1" indent="2"/>
    </xf>
    <xf numFmtId="0" fontId="2" fillId="3" borderId="9" xfId="6" applyFont="1" applyFill="1" applyBorder="1" applyAlignment="1">
      <alignment horizontal="left" vertical="center" wrapText="1"/>
    </xf>
    <xf numFmtId="0" fontId="6" fillId="3" borderId="9" xfId="6" applyFont="1" applyFill="1" applyBorder="1" applyAlignment="1">
      <alignment horizontal="left" vertical="center" wrapText="1"/>
    </xf>
    <xf numFmtId="16" fontId="17" fillId="3" borderId="8" xfId="6" applyNumberFormat="1" applyFont="1" applyFill="1" applyBorder="1" applyAlignment="1">
      <alignment horizontal="left" wrapText="1" indent="2"/>
    </xf>
    <xf numFmtId="0" fontId="5" fillId="3" borderId="0" xfId="6" applyFont="1" applyFill="1" applyBorder="1" applyAlignment="1">
      <alignment horizontal="right"/>
    </xf>
    <xf numFmtId="4" fontId="85" fillId="6" borderId="1" xfId="0" applyNumberFormat="1" applyFont="1" applyFill="1" applyBorder="1" applyAlignment="1">
      <alignment horizontal="center"/>
    </xf>
    <xf numFmtId="4" fontId="85" fillId="6" borderId="6" xfId="0" applyNumberFormat="1" applyFont="1" applyFill="1" applyBorder="1" applyAlignment="1">
      <alignment horizontal="center"/>
    </xf>
    <xf numFmtId="0" fontId="12" fillId="3" borderId="1" xfId="6" applyFont="1" applyFill="1" applyBorder="1" applyAlignment="1">
      <alignment horizontal="center" vertical="center" wrapText="1"/>
    </xf>
    <xf numFmtId="0" fontId="12" fillId="3" borderId="5" xfId="6" applyFont="1" applyFill="1" applyBorder="1" applyAlignment="1">
      <alignment horizontal="center" vertical="center" wrapText="1"/>
    </xf>
    <xf numFmtId="0" fontId="6" fillId="3" borderId="0" xfId="6" applyFont="1" applyFill="1" applyBorder="1" applyAlignment="1">
      <alignment horizontal="center" vertical="center"/>
    </xf>
    <xf numFmtId="180" fontId="2" fillId="8" borderId="6" xfId="6" applyNumberFormat="1" applyFont="1" applyFill="1" applyBorder="1" applyAlignment="1" applyProtection="1">
      <alignment horizontal="center" vertical="center" wrapText="1"/>
    </xf>
    <xf numFmtId="180" fontId="2" fillId="3" borderId="6" xfId="6" applyNumberFormat="1" applyFont="1" applyFill="1" applyBorder="1" applyAlignment="1" applyProtection="1">
      <alignment horizontal="center" vertical="center" wrapText="1"/>
    </xf>
    <xf numFmtId="4" fontId="2" fillId="3" borderId="0" xfId="6" applyNumberFormat="1" applyFont="1" applyFill="1" applyBorder="1" applyAlignment="1" applyProtection="1">
      <alignment horizontal="center" vertical="center"/>
      <protection locked="0"/>
    </xf>
    <xf numFmtId="0" fontId="103" fillId="3" borderId="1" xfId="0" applyFont="1" applyFill="1" applyBorder="1" applyAlignment="1" applyProtection="1">
      <protection locked="0"/>
    </xf>
    <xf numFmtId="0" fontId="102" fillId="3" borderId="0" xfId="0" applyFont="1" applyFill="1"/>
    <xf numFmtId="0" fontId="0" fillId="0" borderId="1" xfId="0" applyBorder="1"/>
    <xf numFmtId="0" fontId="97" fillId="3" borderId="0" xfId="6" applyFont="1" applyFill="1" applyBorder="1" applyAlignment="1">
      <alignment horizontal="left" vertical="center" wrapText="1"/>
    </xf>
    <xf numFmtId="16" fontId="5" fillId="3" borderId="0" xfId="6" applyNumberFormat="1" applyFont="1" applyFill="1" applyBorder="1" applyAlignment="1">
      <alignment horizontal="left" vertical="center" indent="2"/>
    </xf>
    <xf numFmtId="3" fontId="85" fillId="3" borderId="5" xfId="0" applyNumberFormat="1" applyFont="1" applyFill="1" applyBorder="1" applyAlignment="1" applyProtection="1">
      <alignment horizontal="center" vertical="center" wrapText="1"/>
    </xf>
    <xf numFmtId="0" fontId="12" fillId="0" borderId="8" xfId="6" applyFont="1" applyFill="1" applyBorder="1" applyAlignment="1">
      <alignment horizontal="center" vertical="center"/>
    </xf>
    <xf numFmtId="0" fontId="5" fillId="3" borderId="0" xfId="5" applyFont="1" applyFill="1" applyBorder="1" applyAlignment="1">
      <alignment vertical="center"/>
    </xf>
    <xf numFmtId="0" fontId="5" fillId="3" borderId="0" xfId="6" applyFont="1" applyFill="1" applyBorder="1" applyAlignment="1"/>
    <xf numFmtId="182" fontId="2" fillId="0" borderId="0" xfId="6" applyNumberFormat="1" applyFont="1" applyFill="1" applyBorder="1" applyAlignment="1" applyProtection="1">
      <alignment vertical="center" wrapText="1"/>
    </xf>
    <xf numFmtId="180" fontId="2" fillId="3" borderId="7" xfId="6" applyNumberFormat="1" applyFont="1" applyFill="1" applyBorder="1" applyAlignment="1" applyProtection="1">
      <alignment horizontal="center" vertical="center" wrapText="1"/>
    </xf>
    <xf numFmtId="180" fontId="2" fillId="3" borderId="8" xfId="6" applyNumberFormat="1" applyFont="1" applyFill="1" applyBorder="1" applyAlignment="1" applyProtection="1">
      <alignment horizontal="center" vertical="center" wrapText="1"/>
    </xf>
    <xf numFmtId="0" fontId="107" fillId="0" borderId="0" xfId="0" applyFont="1" applyBorder="1"/>
    <xf numFmtId="0" fontId="85" fillId="3" borderId="0" xfId="0" applyFont="1" applyFill="1" applyBorder="1"/>
    <xf numFmtId="0" fontId="83" fillId="3" borderId="0" xfId="0" applyFont="1" applyFill="1" applyBorder="1" applyAlignment="1">
      <alignment horizontal="center" vertical="center" wrapText="1"/>
    </xf>
    <xf numFmtId="0" fontId="107" fillId="0" borderId="0" xfId="0" applyFont="1" applyBorder="1" applyAlignment="1">
      <alignment horizontal="center"/>
    </xf>
    <xf numFmtId="0" fontId="107" fillId="0" borderId="32" xfId="0" applyFont="1" applyBorder="1"/>
    <xf numFmtId="0" fontId="107" fillId="0" borderId="1" xfId="0" applyFont="1" applyBorder="1" applyAlignment="1">
      <alignment horizontal="center" vertical="center" wrapText="1"/>
    </xf>
    <xf numFmtId="0" fontId="107" fillId="23" borderId="1" xfId="0" applyFont="1" applyFill="1" applyBorder="1" applyAlignment="1">
      <alignment horizontal="center" vertical="center"/>
    </xf>
    <xf numFmtId="0" fontId="107" fillId="16" borderId="1" xfId="0" applyFont="1" applyFill="1" applyBorder="1" applyAlignment="1">
      <alignment horizontal="center" vertical="center"/>
    </xf>
    <xf numFmtId="0" fontId="107" fillId="8" borderId="1" xfId="0" applyFont="1" applyFill="1" applyBorder="1" applyAlignment="1">
      <alignment horizontal="center" vertical="center"/>
    </xf>
    <xf numFmtId="0" fontId="107" fillId="24" borderId="1" xfId="0" applyFont="1" applyFill="1" applyBorder="1" applyAlignment="1">
      <alignment horizontal="center" vertical="center" wrapText="1"/>
    </xf>
    <xf numFmtId="49" fontId="107" fillId="0" borderId="1" xfId="0" applyNumberFormat="1" applyFont="1" applyBorder="1" applyAlignment="1">
      <alignment horizontal="center" vertical="center" wrapText="1"/>
    </xf>
    <xf numFmtId="0" fontId="85" fillId="3" borderId="1" xfId="0" applyFont="1" applyFill="1" applyBorder="1" applyAlignment="1">
      <alignment vertical="center"/>
    </xf>
    <xf numFmtId="0" fontId="107" fillId="0" borderId="1" xfId="0" applyFont="1" applyBorder="1"/>
    <xf numFmtId="0" fontId="107" fillId="0" borderId="9" xfId="0" applyFont="1" applyBorder="1"/>
    <xf numFmtId="0" fontId="107" fillId="0" borderId="1" xfId="0" applyFont="1" applyBorder="1" applyAlignment="1">
      <alignment horizontal="center"/>
    </xf>
    <xf numFmtId="0" fontId="104" fillId="0" borderId="1" xfId="0" applyFont="1" applyBorder="1" applyAlignment="1">
      <alignment horizontal="center"/>
    </xf>
    <xf numFmtId="16" fontId="85" fillId="3" borderId="1" xfId="0" applyNumberFormat="1" applyFont="1" applyFill="1" applyBorder="1" applyAlignment="1">
      <alignment horizontal="center" vertical="center"/>
    </xf>
    <xf numFmtId="0" fontId="85" fillId="3" borderId="1" xfId="0" applyFont="1" applyFill="1" applyBorder="1" applyAlignment="1">
      <alignment vertical="center" wrapText="1"/>
    </xf>
    <xf numFmtId="0" fontId="108" fillId="3" borderId="1" xfId="0" applyFont="1" applyFill="1" applyBorder="1" applyAlignment="1">
      <alignment horizontal="center"/>
    </xf>
    <xf numFmtId="0" fontId="0" fillId="3" borderId="0" xfId="0" applyFill="1"/>
    <xf numFmtId="0" fontId="107" fillId="0" borderId="0" xfId="0" applyFont="1"/>
    <xf numFmtId="0" fontId="107" fillId="0" borderId="13" xfId="0" applyFont="1" applyBorder="1"/>
    <xf numFmtId="0" fontId="85" fillId="3" borderId="13" xfId="0" applyFont="1" applyFill="1" applyBorder="1" applyAlignment="1">
      <alignment horizontal="center" vertical="center"/>
    </xf>
    <xf numFmtId="0" fontId="107" fillId="0" borderId="13" xfId="0" applyFont="1" applyBorder="1" applyAlignment="1">
      <alignment horizontal="center"/>
    </xf>
    <xf numFmtId="0" fontId="108" fillId="3" borderId="13" xfId="0" applyFont="1" applyFill="1" applyBorder="1" applyAlignment="1">
      <alignment horizontal="center"/>
    </xf>
    <xf numFmtId="0" fontId="107" fillId="3" borderId="9" xfId="0" applyFont="1" applyFill="1" applyBorder="1"/>
    <xf numFmtId="0" fontId="108" fillId="0" borderId="1" xfId="0" applyFont="1" applyBorder="1" applyAlignment="1">
      <alignment horizontal="center"/>
    </xf>
    <xf numFmtId="0" fontId="85" fillId="3" borderId="0" xfId="0" applyFont="1" applyFill="1"/>
    <xf numFmtId="0" fontId="107" fillId="0" borderId="15" xfId="0" applyFont="1" applyBorder="1"/>
    <xf numFmtId="16" fontId="105" fillId="12" borderId="3" xfId="0" applyNumberFormat="1" applyFont="1" applyFill="1" applyBorder="1" applyAlignment="1">
      <alignment horizontal="center" vertical="center"/>
    </xf>
    <xf numFmtId="0" fontId="105" fillId="12" borderId="3" xfId="0" applyFont="1" applyFill="1" applyBorder="1" applyAlignment="1">
      <alignment horizontal="left" vertical="center" wrapText="1"/>
    </xf>
    <xf numFmtId="0" fontId="107" fillId="12" borderId="3" xfId="0" applyFont="1" applyFill="1" applyBorder="1" applyAlignment="1">
      <alignment horizontal="center"/>
    </xf>
    <xf numFmtId="0" fontId="107" fillId="12" borderId="3" xfId="0" applyFont="1" applyFill="1" applyBorder="1"/>
    <xf numFmtId="0" fontId="107" fillId="12" borderId="4" xfId="0" applyFont="1" applyFill="1" applyBorder="1" applyAlignment="1">
      <alignment horizontal="center"/>
    </xf>
    <xf numFmtId="0" fontId="107" fillId="3" borderId="2" xfId="0" applyFont="1" applyFill="1" applyBorder="1"/>
    <xf numFmtId="0" fontId="107" fillId="0" borderId="5" xfId="0" applyFont="1" applyBorder="1" applyAlignment="1">
      <alignment horizontal="center"/>
    </xf>
    <xf numFmtId="0" fontId="107" fillId="3" borderId="1" xfId="0" applyFont="1" applyFill="1" applyBorder="1"/>
    <xf numFmtId="0" fontId="107" fillId="3" borderId="0" xfId="0" applyFont="1" applyFill="1" applyBorder="1"/>
    <xf numFmtId="0" fontId="107" fillId="3" borderId="8" xfId="0" applyFont="1" applyFill="1" applyBorder="1"/>
    <xf numFmtId="0" fontId="107" fillId="0" borderId="7" xfId="0" applyFont="1" applyBorder="1" applyAlignment="1">
      <alignment horizontal="center"/>
    </xf>
    <xf numFmtId="0" fontId="107" fillId="3" borderId="21" xfId="0" applyFont="1" applyFill="1" applyBorder="1"/>
    <xf numFmtId="0" fontId="107" fillId="0" borderId="2" xfId="0" applyFont="1" applyBorder="1"/>
    <xf numFmtId="0" fontId="107" fillId="3" borderId="1" xfId="0" applyFont="1" applyFill="1" applyBorder="1" applyAlignment="1">
      <alignment horizontal="center"/>
    </xf>
    <xf numFmtId="0" fontId="85" fillId="3" borderId="6" xfId="0" applyFont="1" applyFill="1" applyBorder="1" applyAlignment="1">
      <alignment horizontal="center" vertical="center"/>
    </xf>
    <xf numFmtId="0" fontId="107" fillId="0" borderId="36" xfId="0" applyFont="1" applyBorder="1"/>
    <xf numFmtId="0" fontId="85" fillId="3" borderId="20" xfId="0" applyFont="1" applyFill="1" applyBorder="1" applyAlignment="1">
      <alignment horizontal="center" vertical="center"/>
    </xf>
    <xf numFmtId="0" fontId="107" fillId="0" borderId="20" xfId="0" applyFont="1" applyBorder="1" applyAlignment="1">
      <alignment horizontal="center"/>
    </xf>
    <xf numFmtId="0" fontId="107" fillId="0" borderId="20" xfId="0" applyFont="1" applyBorder="1"/>
    <xf numFmtId="0" fontId="107" fillId="0" borderId="22" xfId="0" applyFont="1" applyBorder="1" applyAlignment="1">
      <alignment horizontal="center"/>
    </xf>
    <xf numFmtId="0" fontId="0" fillId="0" borderId="21" xfId="0" applyBorder="1"/>
    <xf numFmtId="0" fontId="83" fillId="12" borderId="11" xfId="0" applyFont="1" applyFill="1" applyBorder="1" applyAlignment="1">
      <alignment horizontal="center" vertical="center" wrapText="1"/>
    </xf>
    <xf numFmtId="0" fontId="83" fillId="12" borderId="11" xfId="0" applyFont="1" applyFill="1" applyBorder="1" applyAlignment="1">
      <alignment vertical="center" wrapText="1"/>
    </xf>
    <xf numFmtId="0" fontId="109" fillId="12" borderId="11" xfId="0" applyFont="1" applyFill="1" applyBorder="1" applyAlignment="1">
      <alignment horizontal="center"/>
    </xf>
    <xf numFmtId="0" fontId="109" fillId="12" borderId="11" xfId="0" applyFont="1" applyFill="1" applyBorder="1"/>
    <xf numFmtId="0" fontId="109" fillId="12" borderId="12" xfId="0" applyFont="1" applyFill="1" applyBorder="1" applyAlignment="1">
      <alignment horizontal="center"/>
    </xf>
    <xf numFmtId="0" fontId="0" fillId="0" borderId="2" xfId="0" applyBorder="1"/>
    <xf numFmtId="0" fontId="0" fillId="3" borderId="2" xfId="0" applyFill="1" applyBorder="1"/>
    <xf numFmtId="0" fontId="109" fillId="3" borderId="1" xfId="0" applyFont="1" applyFill="1" applyBorder="1"/>
    <xf numFmtId="0" fontId="0" fillId="3" borderId="30" xfId="0" applyFill="1" applyBorder="1"/>
    <xf numFmtId="0" fontId="85" fillId="12" borderId="31" xfId="0" applyFont="1" applyFill="1" applyBorder="1" applyAlignment="1">
      <alignment horizontal="center"/>
    </xf>
    <xf numFmtId="0" fontId="83" fillId="12" borderId="31" xfId="0" applyFont="1" applyFill="1" applyBorder="1" applyAlignment="1">
      <alignment horizontal="left" vertical="center" wrapText="1"/>
    </xf>
    <xf numFmtId="0" fontId="107" fillId="12" borderId="31" xfId="0" applyFont="1" applyFill="1" applyBorder="1" applyAlignment="1">
      <alignment horizontal="center"/>
    </xf>
    <xf numFmtId="0" fontId="107" fillId="12" borderId="31" xfId="0" applyFont="1" applyFill="1" applyBorder="1"/>
    <xf numFmtId="0" fontId="107" fillId="12" borderId="10" xfId="0" applyFont="1" applyFill="1" applyBorder="1" applyAlignment="1">
      <alignment horizontal="center"/>
    </xf>
    <xf numFmtId="0" fontId="0" fillId="0" borderId="15" xfId="0" applyBorder="1"/>
    <xf numFmtId="0" fontId="85" fillId="3" borderId="3" xfId="0" applyFont="1" applyFill="1" applyBorder="1" applyAlignment="1">
      <alignment horizontal="center" vertical="center"/>
    </xf>
    <xf numFmtId="0" fontId="107" fillId="0" borderId="3" xfId="0" applyFont="1" applyBorder="1" applyAlignment="1">
      <alignment horizontal="center"/>
    </xf>
    <xf numFmtId="0" fontId="107" fillId="0" borderId="3" xfId="0" applyFont="1" applyBorder="1"/>
    <xf numFmtId="0" fontId="107" fillId="0" borderId="4" xfId="0" applyFont="1" applyBorder="1"/>
    <xf numFmtId="0" fontId="0" fillId="3" borderId="0" xfId="0" applyFill="1" applyBorder="1"/>
    <xf numFmtId="0" fontId="107" fillId="3" borderId="5" xfId="0" applyFont="1" applyFill="1" applyBorder="1"/>
    <xf numFmtId="0" fontId="107" fillId="0" borderId="5" xfId="0" applyFont="1" applyBorder="1"/>
    <xf numFmtId="0" fontId="85" fillId="12" borderId="11" xfId="0" applyFont="1" applyFill="1" applyBorder="1" applyAlignment="1">
      <alignment horizontal="center"/>
    </xf>
    <xf numFmtId="0" fontId="83" fillId="12" borderId="11" xfId="0" applyFont="1" applyFill="1" applyBorder="1" applyAlignment="1">
      <alignment horizontal="left" vertical="center" wrapText="1"/>
    </xf>
    <xf numFmtId="0" fontId="107" fillId="12" borderId="11" xfId="0" applyFont="1" applyFill="1" applyBorder="1" applyAlignment="1">
      <alignment horizontal="center"/>
    </xf>
    <xf numFmtId="0" fontId="107" fillId="12" borderId="11" xfId="0" applyFont="1" applyFill="1" applyBorder="1"/>
    <xf numFmtId="0" fontId="107" fillId="12" borderId="12" xfId="0" applyFont="1" applyFill="1" applyBorder="1" applyAlignment="1">
      <alignment horizontal="center"/>
    </xf>
    <xf numFmtId="0" fontId="107" fillId="3" borderId="6" xfId="0" applyFont="1" applyFill="1" applyBorder="1" applyAlignment="1">
      <alignment horizontal="center"/>
    </xf>
    <xf numFmtId="0" fontId="107" fillId="3" borderId="6" xfId="0" applyFont="1" applyFill="1" applyBorder="1"/>
    <xf numFmtId="0" fontId="105" fillId="3" borderId="3" xfId="0" applyFont="1" applyFill="1" applyBorder="1" applyAlignment="1">
      <alignment horizontal="left" vertical="center" wrapText="1"/>
    </xf>
    <xf numFmtId="0" fontId="107" fillId="3" borderId="31" xfId="0" applyFont="1" applyFill="1" applyBorder="1"/>
    <xf numFmtId="0" fontId="107" fillId="3" borderId="10" xfId="0" applyFont="1" applyFill="1" applyBorder="1" applyAlignment="1">
      <alignment horizontal="center"/>
    </xf>
    <xf numFmtId="0" fontId="107" fillId="3" borderId="6" xfId="0" applyFont="1" applyFill="1" applyBorder="1" applyAlignment="1">
      <alignment horizontal="center" vertical="center" wrapText="1"/>
    </xf>
    <xf numFmtId="0" fontId="83" fillId="3" borderId="11" xfId="0" applyFont="1" applyFill="1" applyBorder="1" applyAlignment="1">
      <alignment horizontal="center" vertical="center"/>
    </xf>
    <xf numFmtId="0" fontId="107" fillId="3" borderId="11" xfId="0" applyFont="1" applyFill="1" applyBorder="1" applyAlignment="1">
      <alignment horizontal="center" vertical="center" wrapText="1"/>
    </xf>
    <xf numFmtId="0" fontId="107" fillId="3" borderId="11" xfId="0" applyFont="1" applyFill="1" applyBorder="1"/>
    <xf numFmtId="16" fontId="107" fillId="3" borderId="12" xfId="0" applyNumberFormat="1" applyFont="1" applyFill="1" applyBorder="1" applyAlignment="1">
      <alignment horizontal="center"/>
    </xf>
    <xf numFmtId="0" fontId="83" fillId="3" borderId="1" xfId="0" applyFont="1" applyFill="1" applyBorder="1" applyAlignment="1">
      <alignment horizontal="center" vertical="center" wrapText="1"/>
    </xf>
    <xf numFmtId="0" fontId="108" fillId="3" borderId="5" xfId="0" applyFont="1" applyFill="1" applyBorder="1" applyAlignment="1">
      <alignment horizontal="center"/>
    </xf>
    <xf numFmtId="0" fontId="85" fillId="3" borderId="31" xfId="0" applyFont="1" applyFill="1" applyBorder="1" applyAlignment="1">
      <alignment horizontal="center"/>
    </xf>
    <xf numFmtId="0" fontId="107" fillId="3" borderId="3" xfId="0" applyFont="1" applyFill="1" applyBorder="1" applyAlignment="1">
      <alignment horizontal="center"/>
    </xf>
    <xf numFmtId="49" fontId="0" fillId="3" borderId="14" xfId="0" applyNumberFormat="1" applyFill="1" applyBorder="1"/>
    <xf numFmtId="0" fontId="107" fillId="3" borderId="13" xfId="0" applyFont="1" applyFill="1" applyBorder="1" applyAlignment="1">
      <alignment horizontal="center"/>
    </xf>
    <xf numFmtId="0" fontId="107" fillId="3" borderId="13" xfId="0" applyFont="1" applyFill="1" applyBorder="1"/>
    <xf numFmtId="0" fontId="107" fillId="3" borderId="19" xfId="0" applyFont="1" applyFill="1" applyBorder="1"/>
    <xf numFmtId="0" fontId="0" fillId="3" borderId="15" xfId="0" applyFill="1" applyBorder="1"/>
    <xf numFmtId="0" fontId="107" fillId="3" borderId="3" xfId="0" applyFont="1" applyFill="1" applyBorder="1"/>
    <xf numFmtId="0" fontId="107" fillId="3" borderId="4" xfId="0" applyFont="1" applyFill="1" applyBorder="1"/>
    <xf numFmtId="0" fontId="86" fillId="3" borderId="1" xfId="0" applyFont="1" applyFill="1" applyBorder="1" applyAlignment="1">
      <alignment horizontal="center" vertical="center"/>
    </xf>
    <xf numFmtId="0" fontId="96" fillId="3" borderId="1" xfId="0" applyFont="1" applyFill="1" applyBorder="1" applyAlignment="1">
      <alignment horizontal="justify" vertical="center"/>
    </xf>
    <xf numFmtId="0" fontId="110" fillId="3" borderId="1" xfId="0" applyFont="1" applyFill="1" applyBorder="1"/>
    <xf numFmtId="0" fontId="110" fillId="3" borderId="5" xfId="0" applyFont="1" applyFill="1" applyBorder="1"/>
    <xf numFmtId="0" fontId="0" fillId="3" borderId="8" xfId="0" applyFill="1" applyBorder="1"/>
    <xf numFmtId="0" fontId="107" fillId="3" borderId="7" xfId="0" applyFont="1" applyFill="1" applyBorder="1"/>
    <xf numFmtId="0" fontId="2" fillId="10" borderId="8" xfId="6" applyFont="1" applyFill="1" applyBorder="1" applyAlignment="1" applyProtection="1">
      <alignment horizontal="center" vertical="center" wrapText="1"/>
    </xf>
    <xf numFmtId="0" fontId="2" fillId="10" borderId="7" xfId="6" applyFont="1" applyFill="1" applyBorder="1" applyAlignment="1" applyProtection="1">
      <alignment horizontal="center" vertical="center" wrapText="1"/>
    </xf>
    <xf numFmtId="49" fontId="2" fillId="3" borderId="16" xfId="6" applyNumberFormat="1" applyFont="1" applyFill="1" applyBorder="1" applyAlignment="1">
      <alignment horizontal="center" vertical="center"/>
    </xf>
    <xf numFmtId="180" fontId="85" fillId="0" borderId="18" xfId="6" applyNumberFormat="1" applyFont="1" applyFill="1" applyBorder="1" applyAlignment="1" applyProtection="1">
      <alignment vertical="center"/>
      <protection locked="0"/>
    </xf>
    <xf numFmtId="0" fontId="85" fillId="3" borderId="18" xfId="0" applyNumberFormat="1" applyFont="1" applyFill="1" applyBorder="1" applyAlignment="1">
      <alignment horizontal="center" vertical="center" wrapText="1"/>
    </xf>
    <xf numFmtId="180" fontId="85" fillId="0" borderId="33" xfId="6" applyNumberFormat="1" applyFont="1" applyFill="1" applyBorder="1" applyAlignment="1" applyProtection="1">
      <alignment vertical="center"/>
      <protection locked="0"/>
    </xf>
    <xf numFmtId="180" fontId="85" fillId="17" borderId="37" xfId="6" applyNumberFormat="1" applyFont="1" applyFill="1" applyBorder="1" applyAlignment="1" applyProtection="1">
      <alignment vertical="center"/>
    </xf>
    <xf numFmtId="180" fontId="85" fillId="0" borderId="8" xfId="6" applyNumberFormat="1" applyFont="1" applyFill="1" applyBorder="1" applyAlignment="1" applyProtection="1">
      <alignment vertical="center"/>
      <protection locked="0"/>
    </xf>
    <xf numFmtId="180" fontId="85" fillId="0" borderId="7" xfId="6" applyNumberFormat="1" applyFont="1" applyFill="1" applyBorder="1" applyAlignment="1" applyProtection="1">
      <alignment vertical="center"/>
      <protection locked="0"/>
    </xf>
    <xf numFmtId="183" fontId="2" fillId="0" borderId="0" xfId="6" applyNumberFormat="1" applyFont="1" applyFill="1" applyBorder="1" applyAlignment="1" applyProtection="1">
      <alignment horizontal="center" vertical="center" wrapText="1"/>
      <protection locked="0"/>
    </xf>
    <xf numFmtId="180" fontId="2" fillId="17" borderId="8" xfId="6" applyNumberFormat="1" applyFont="1" applyFill="1" applyBorder="1" applyAlignment="1" applyProtection="1">
      <alignment vertical="center"/>
    </xf>
    <xf numFmtId="180" fontId="2" fillId="17" borderId="7" xfId="6" applyNumberFormat="1" applyFont="1" applyFill="1" applyBorder="1" applyAlignment="1" applyProtection="1">
      <alignment vertical="center"/>
    </xf>
    <xf numFmtId="180" fontId="2" fillId="3" borderId="0" xfId="6" applyNumberFormat="1" applyFont="1" applyFill="1" applyBorder="1" applyAlignment="1" applyProtection="1">
      <alignment vertical="center"/>
    </xf>
    <xf numFmtId="0" fontId="2" fillId="0" borderId="9" xfId="6" applyFont="1" applyFill="1" applyBorder="1" applyAlignment="1">
      <alignment horizontal="left" vertical="center" wrapText="1"/>
    </xf>
    <xf numFmtId="0" fontId="2" fillId="0" borderId="24" xfId="6" applyFont="1" applyFill="1" applyBorder="1" applyAlignment="1">
      <alignment horizontal="left" vertical="center" wrapText="1"/>
    </xf>
    <xf numFmtId="0" fontId="2" fillId="0" borderId="0" xfId="6" applyFont="1" applyFill="1" applyBorder="1" applyAlignment="1">
      <alignment horizontal="left" vertical="center" wrapText="1"/>
    </xf>
    <xf numFmtId="4" fontId="2" fillId="3" borderId="0" xfId="6" applyNumberFormat="1" applyFont="1" applyFill="1" applyBorder="1" applyAlignment="1" applyProtection="1">
      <alignment horizontal="center" vertical="center"/>
    </xf>
    <xf numFmtId="0" fontId="6" fillId="3" borderId="0" xfId="6" applyFont="1" applyFill="1" applyBorder="1" applyAlignment="1"/>
    <xf numFmtId="0" fontId="2" fillId="3" borderId="0" xfId="6" applyFont="1" applyFill="1" applyBorder="1" applyAlignment="1">
      <alignment horizontal="left" vertical="center" wrapText="1" indent="1"/>
    </xf>
    <xf numFmtId="0" fontId="85" fillId="0" borderId="0" xfId="0" applyFont="1" applyFill="1" applyBorder="1" applyAlignment="1">
      <alignment horizontal="right" vertical="center" wrapText="1"/>
    </xf>
    <xf numFmtId="0" fontId="6" fillId="3" borderId="2" xfId="6" applyFont="1" applyFill="1" applyBorder="1" applyAlignment="1">
      <alignment vertical="center"/>
    </xf>
    <xf numFmtId="16" fontId="2" fillId="3" borderId="2" xfId="6" applyNumberFormat="1" applyFont="1" applyFill="1" applyBorder="1" applyAlignment="1">
      <alignment vertical="center"/>
    </xf>
    <xf numFmtId="0" fontId="2" fillId="3" borderId="8" xfId="6" applyFont="1" applyFill="1" applyBorder="1" applyAlignment="1">
      <alignment vertical="center"/>
    </xf>
    <xf numFmtId="0" fontId="22" fillId="3" borderId="0" xfId="6" applyFont="1" applyFill="1" applyBorder="1" applyAlignment="1" applyProtection="1">
      <alignment vertical="center"/>
    </xf>
    <xf numFmtId="4" fontId="111" fillId="0" borderId="1" xfId="6" applyNumberFormat="1" applyFont="1" applyFill="1" applyBorder="1" applyAlignment="1" applyProtection="1">
      <alignment horizontal="center" vertical="center"/>
      <protection locked="0"/>
    </xf>
    <xf numFmtId="181" fontId="112" fillId="4" borderId="1" xfId="6" applyNumberFormat="1" applyFont="1" applyFill="1" applyBorder="1" applyAlignment="1" applyProtection="1">
      <alignment horizontal="center" vertical="center"/>
    </xf>
    <xf numFmtId="0" fontId="2" fillId="3" borderId="8" xfId="6" applyFont="1" applyFill="1" applyBorder="1" applyAlignment="1">
      <alignment horizontal="left" vertical="center"/>
    </xf>
    <xf numFmtId="4" fontId="111" fillId="0" borderId="6" xfId="6" applyNumberFormat="1" applyFont="1" applyFill="1" applyBorder="1" applyAlignment="1" applyProtection="1">
      <alignment horizontal="center" vertical="center"/>
      <protection locked="0"/>
    </xf>
    <xf numFmtId="181" fontId="112" fillId="4" borderId="6" xfId="6" applyNumberFormat="1" applyFont="1" applyFill="1" applyBorder="1" applyAlignment="1" applyProtection="1">
      <alignment horizontal="center" vertical="center"/>
    </xf>
    <xf numFmtId="0" fontId="5" fillId="0" borderId="0" xfId="6" applyFont="1" applyFill="1" applyBorder="1" applyAlignment="1" applyProtection="1">
      <alignment vertical="center" wrapText="1"/>
      <protection locked="0"/>
    </xf>
    <xf numFmtId="0" fontId="2" fillId="0" borderId="0" xfId="0" applyFont="1" applyBorder="1" applyAlignment="1">
      <alignment horizontal="center" vertical="center"/>
    </xf>
    <xf numFmtId="4" fontId="2" fillId="3" borderId="0" xfId="6" applyNumberFormat="1" applyFont="1" applyFill="1" applyBorder="1" applyAlignment="1" applyProtection="1">
      <alignment horizontal="left" vertical="center" wrapText="1"/>
    </xf>
    <xf numFmtId="14" fontId="86" fillId="3" borderId="2" xfId="6" applyNumberFormat="1" applyFont="1" applyFill="1" applyBorder="1" applyAlignment="1">
      <alignment horizontal="left" vertical="center"/>
    </xf>
    <xf numFmtId="14" fontId="2" fillId="3" borderId="8" xfId="6" applyNumberFormat="1" applyFont="1" applyFill="1" applyBorder="1" applyAlignment="1">
      <alignment horizontal="left" vertical="center"/>
    </xf>
    <xf numFmtId="0" fontId="85" fillId="0" borderId="0" xfId="6" applyFont="1" applyFill="1" applyBorder="1" applyAlignment="1" applyProtection="1">
      <alignment vertical="center" wrapText="1"/>
    </xf>
    <xf numFmtId="0" fontId="17" fillId="0" borderId="0" xfId="6" applyFont="1" applyFill="1" applyBorder="1" applyAlignment="1" applyProtection="1">
      <alignment vertical="center"/>
    </xf>
    <xf numFmtId="0" fontId="17" fillId="0" borderId="0" xfId="6" applyFont="1" applyFill="1" applyBorder="1" applyAlignment="1" applyProtection="1">
      <alignment horizontal="left" vertical="center"/>
    </xf>
    <xf numFmtId="0" fontId="17" fillId="3" borderId="0" xfId="6" applyFont="1" applyFill="1" applyBorder="1" applyAlignment="1" applyProtection="1">
      <alignment vertical="center"/>
    </xf>
    <xf numFmtId="0" fontId="17" fillId="0" borderId="0" xfId="6" applyFont="1" applyFill="1" applyBorder="1" applyAlignment="1" applyProtection="1">
      <alignment horizontal="center" vertical="center"/>
    </xf>
    <xf numFmtId="0" fontId="17" fillId="0" borderId="1" xfId="6" applyFont="1" applyFill="1" applyBorder="1" applyAlignment="1" applyProtection="1">
      <alignment horizontal="center" vertical="center"/>
    </xf>
    <xf numFmtId="0" fontId="17" fillId="0" borderId="1" xfId="6" applyFont="1" applyFill="1" applyBorder="1" applyAlignment="1" applyProtection="1">
      <alignment vertical="center"/>
    </xf>
    <xf numFmtId="4" fontId="17" fillId="10" borderId="1" xfId="6" applyNumberFormat="1" applyFont="1" applyFill="1" applyBorder="1" applyAlignment="1" applyProtection="1">
      <alignment horizontal="center" vertical="center"/>
    </xf>
    <xf numFmtId="4" fontId="85" fillId="3" borderId="3" xfId="0" applyNumberFormat="1" applyFont="1" applyFill="1" applyBorder="1" applyAlignment="1">
      <alignment vertical="center" wrapText="1"/>
    </xf>
    <xf numFmtId="4" fontId="85" fillId="3" borderId="28" xfId="0" applyNumberFormat="1" applyFont="1" applyFill="1" applyBorder="1" applyAlignment="1">
      <alignment vertical="center" wrapText="1"/>
    </xf>
    <xf numFmtId="0" fontId="9" fillId="3" borderId="3" xfId="0" applyFont="1" applyFill="1" applyBorder="1" applyAlignment="1">
      <alignment vertical="center" wrapText="1"/>
    </xf>
    <xf numFmtId="0" fontId="85" fillId="3" borderId="9" xfId="6" applyFont="1" applyFill="1" applyBorder="1" applyAlignment="1">
      <alignment horizontal="left" vertical="center" wrapText="1"/>
    </xf>
    <xf numFmtId="0" fontId="16" fillId="3" borderId="9" xfId="6" applyFont="1" applyFill="1" applyBorder="1" applyAlignment="1">
      <alignment horizontal="left" vertical="center" wrapText="1"/>
    </xf>
    <xf numFmtId="0" fontId="2" fillId="3" borderId="24" xfId="6" applyFont="1" applyFill="1" applyBorder="1" applyAlignment="1">
      <alignment horizontal="left" vertical="center" wrapText="1"/>
    </xf>
    <xf numFmtId="0" fontId="16" fillId="3" borderId="38" xfId="6" applyFont="1" applyFill="1" applyBorder="1" applyAlignment="1">
      <alignment horizontal="left" vertical="center" wrapText="1"/>
    </xf>
    <xf numFmtId="0" fontId="16" fillId="3" borderId="28" xfId="6" applyFont="1" applyFill="1" applyBorder="1" applyAlignment="1">
      <alignment horizontal="left" vertical="center" wrapText="1"/>
    </xf>
    <xf numFmtId="0" fontId="2" fillId="3" borderId="9" xfId="6" applyFont="1" applyFill="1" applyBorder="1" applyAlignment="1">
      <alignment horizontal="left" vertical="center" wrapText="1" indent="3"/>
    </xf>
    <xf numFmtId="0" fontId="2" fillId="3" borderId="24" xfId="6" applyFont="1" applyFill="1" applyBorder="1" applyAlignment="1">
      <alignment horizontal="left" vertical="center" wrapText="1" indent="3"/>
    </xf>
    <xf numFmtId="0" fontId="2" fillId="3" borderId="28" xfId="6" applyFont="1" applyFill="1" applyBorder="1" applyAlignment="1">
      <alignment horizontal="left" vertical="center" wrapText="1"/>
    </xf>
    <xf numFmtId="0" fontId="6" fillId="3" borderId="28" xfId="6" applyFont="1" applyFill="1" applyBorder="1" applyAlignment="1">
      <alignment horizontal="left" vertical="center" wrapText="1"/>
    </xf>
    <xf numFmtId="0" fontId="2" fillId="0" borderId="9" xfId="6" applyFont="1" applyFill="1" applyBorder="1" applyAlignment="1">
      <alignment horizontal="left" vertical="center" wrapText="1" indent="3"/>
    </xf>
    <xf numFmtId="0" fontId="2" fillId="0" borderId="9" xfId="6" applyFont="1" applyFill="1" applyBorder="1" applyAlignment="1">
      <alignment horizontal="left" vertical="center"/>
    </xf>
    <xf numFmtId="0" fontId="6" fillId="0" borderId="28" xfId="6" applyFont="1" applyFill="1" applyBorder="1" applyAlignment="1">
      <alignment horizontal="left" vertical="center" wrapText="1"/>
    </xf>
    <xf numFmtId="0" fontId="97" fillId="3" borderId="38" xfId="6" applyFont="1" applyFill="1" applyBorder="1" applyAlignment="1">
      <alignment horizontal="left" vertical="center" wrapText="1"/>
    </xf>
    <xf numFmtId="180" fontId="105" fillId="6" borderId="1" xfId="0" applyNumberFormat="1" applyFont="1" applyFill="1" applyBorder="1"/>
    <xf numFmtId="4" fontId="2" fillId="3" borderId="28" xfId="6" applyNumberFormat="1" applyFont="1" applyFill="1" applyBorder="1" applyAlignment="1">
      <alignment vertical="center" wrapText="1"/>
    </xf>
    <xf numFmtId="4" fontId="81" fillId="3" borderId="1" xfId="0" applyNumberFormat="1" applyFont="1" applyFill="1" applyBorder="1"/>
    <xf numFmtId="0" fontId="12" fillId="3" borderId="1" xfId="6" applyFont="1" applyFill="1" applyBorder="1" applyAlignment="1">
      <alignment horizontal="left" vertical="center" wrapText="1"/>
    </xf>
    <xf numFmtId="0" fontId="113" fillId="3" borderId="0" xfId="6" applyFont="1" applyFill="1" applyBorder="1" applyAlignment="1">
      <alignment horizontal="center" vertical="center"/>
    </xf>
    <xf numFmtId="0" fontId="113" fillId="3" borderId="0" xfId="0" applyFont="1" applyFill="1" applyBorder="1" applyAlignment="1">
      <alignment horizontal="center"/>
    </xf>
    <xf numFmtId="0" fontId="113" fillId="3" borderId="0" xfId="6" applyFont="1" applyFill="1" applyBorder="1" applyAlignment="1" applyProtection="1">
      <alignment horizontal="center" vertical="center"/>
      <protection locked="0"/>
    </xf>
    <xf numFmtId="182" fontId="113" fillId="3" borderId="0" xfId="0" applyNumberFormat="1" applyFont="1" applyFill="1" applyBorder="1" applyAlignment="1" applyProtection="1">
      <alignment horizontal="center"/>
    </xf>
    <xf numFmtId="182" fontId="114" fillId="3" borderId="0" xfId="0" applyNumberFormat="1" applyFont="1" applyFill="1" applyBorder="1" applyAlignment="1" applyProtection="1">
      <alignment horizontal="center"/>
    </xf>
    <xf numFmtId="0" fontId="115" fillId="3" borderId="0" xfId="0" applyFont="1" applyFill="1" applyBorder="1" applyAlignment="1" applyProtection="1">
      <alignment horizontal="center" wrapText="1"/>
    </xf>
    <xf numFmtId="1" fontId="113" fillId="3" borderId="0" xfId="0" applyNumberFormat="1" applyFont="1" applyFill="1" applyBorder="1" applyAlignment="1" applyProtection="1">
      <alignment horizontal="center"/>
    </xf>
    <xf numFmtId="182" fontId="115" fillId="3" borderId="0" xfId="0" applyNumberFormat="1" applyFont="1" applyFill="1" applyBorder="1" applyAlignment="1" applyProtection="1">
      <alignment horizontal="center"/>
    </xf>
    <xf numFmtId="3" fontId="113" fillId="3" borderId="0" xfId="6" applyNumberFormat="1" applyFont="1" applyFill="1" applyBorder="1" applyAlignment="1" applyProtection="1">
      <alignment horizontal="center" vertical="center"/>
    </xf>
    <xf numFmtId="182" fontId="115" fillId="3" borderId="0" xfId="0" applyNumberFormat="1" applyFont="1" applyFill="1" applyBorder="1" applyAlignment="1">
      <alignment horizontal="center"/>
    </xf>
    <xf numFmtId="4" fontId="105" fillId="0" borderId="6" xfId="0" applyNumberFormat="1" applyFont="1" applyFill="1" applyBorder="1" applyAlignment="1" applyProtection="1">
      <alignment horizontal="center" wrapText="1"/>
    </xf>
    <xf numFmtId="4" fontId="12" fillId="3" borderId="1" xfId="6" applyNumberFormat="1" applyFont="1" applyFill="1" applyBorder="1" applyAlignment="1">
      <alignment horizontal="left" vertical="center" wrapText="1"/>
    </xf>
    <xf numFmtId="0" fontId="12" fillId="3" borderId="9" xfId="6" applyFont="1" applyFill="1" applyBorder="1" applyAlignment="1">
      <alignment horizontal="left" vertical="center" wrapText="1"/>
    </xf>
    <xf numFmtId="4" fontId="81" fillId="3" borderId="9" xfId="0" applyNumberFormat="1" applyFont="1" applyFill="1" applyBorder="1" applyProtection="1">
      <protection locked="0"/>
    </xf>
    <xf numFmtId="4" fontId="0" fillId="0" borderId="1" xfId="0" applyNumberFormat="1" applyBorder="1" applyAlignment="1">
      <alignment horizontal="center"/>
    </xf>
    <xf numFmtId="0" fontId="12" fillId="3" borderId="1" xfId="6" applyFont="1" applyFill="1" applyBorder="1" applyAlignment="1" applyProtection="1">
      <alignment horizontal="center" vertical="center"/>
      <protection locked="0"/>
    </xf>
    <xf numFmtId="0" fontId="2" fillId="0" borderId="39" xfId="6" applyFont="1" applyFill="1" applyBorder="1" applyAlignment="1">
      <alignment horizontal="center" vertical="center"/>
    </xf>
    <xf numFmtId="14" fontId="23" fillId="3" borderId="23" xfId="6" applyNumberFormat="1" applyFont="1" applyFill="1" applyBorder="1" applyAlignment="1">
      <alignment horizontal="left" vertical="center"/>
    </xf>
    <xf numFmtId="0" fontId="2" fillId="3" borderId="40" xfId="6" applyFont="1" applyFill="1" applyBorder="1" applyAlignment="1">
      <alignment horizontal="left" vertical="center" wrapText="1" indent="2"/>
    </xf>
    <xf numFmtId="4" fontId="2" fillId="3" borderId="41" xfId="6" applyNumberFormat="1" applyFont="1" applyFill="1" applyBorder="1" applyAlignment="1">
      <alignment horizontal="center" vertical="center" wrapText="1"/>
    </xf>
    <xf numFmtId="4" fontId="2" fillId="3" borderId="23" xfId="6" applyNumberFormat="1" applyFont="1" applyFill="1" applyBorder="1" applyAlignment="1">
      <alignment horizontal="center" vertical="center" wrapText="1"/>
    </xf>
    <xf numFmtId="4" fontId="2" fillId="3" borderId="42" xfId="6" applyNumberFormat="1" applyFont="1" applyFill="1" applyBorder="1" applyAlignment="1">
      <alignment horizontal="center" vertical="center" wrapText="1"/>
    </xf>
    <xf numFmtId="4" fontId="12" fillId="0" borderId="0" xfId="6" applyNumberFormat="1" applyFont="1" applyFill="1" applyBorder="1" applyAlignment="1" applyProtection="1">
      <alignment horizontal="center" vertical="center"/>
      <protection locked="0"/>
    </xf>
    <xf numFmtId="180" fontId="46" fillId="0" borderId="1" xfId="6" applyNumberFormat="1" applyFont="1" applyFill="1" applyBorder="1" applyAlignment="1" applyProtection="1">
      <alignment vertical="center"/>
      <protection locked="0"/>
    </xf>
    <xf numFmtId="4" fontId="85" fillId="0" borderId="1" xfId="0" applyNumberFormat="1" applyFont="1" applyFill="1" applyBorder="1" applyProtection="1">
      <protection locked="0"/>
    </xf>
    <xf numFmtId="4" fontId="85" fillId="6" borderId="5" xfId="0" applyNumberFormat="1" applyFont="1" applyFill="1" applyBorder="1"/>
    <xf numFmtId="0" fontId="85" fillId="3" borderId="8" xfId="0" applyFont="1" applyFill="1" applyBorder="1" applyAlignment="1">
      <alignment horizontal="center" vertical="center"/>
    </xf>
    <xf numFmtId="0" fontId="103" fillId="3" borderId="0" xfId="0" applyFont="1" applyFill="1" applyBorder="1" applyAlignment="1">
      <alignment horizontal="center" vertical="center"/>
    </xf>
    <xf numFmtId="0" fontId="116" fillId="3" borderId="0" xfId="0" applyFont="1" applyFill="1" applyBorder="1" applyAlignment="1">
      <alignment horizontal="center" vertical="center" wrapText="1"/>
    </xf>
    <xf numFmtId="182" fontId="102" fillId="3" borderId="0" xfId="0" applyNumberFormat="1" applyFont="1" applyFill="1" applyBorder="1" applyAlignment="1" applyProtection="1">
      <alignment horizontal="left" vertical="center" wrapText="1"/>
      <protection locked="0"/>
    </xf>
    <xf numFmtId="0" fontId="102" fillId="3" borderId="0" xfId="0" applyFont="1" applyFill="1" applyBorder="1" applyAlignment="1" applyProtection="1">
      <alignment horizontal="center" vertical="center"/>
      <protection locked="0"/>
    </xf>
    <xf numFmtId="0" fontId="106" fillId="3" borderId="0" xfId="0" applyFont="1" applyFill="1" applyAlignment="1">
      <alignment vertical="center"/>
    </xf>
    <xf numFmtId="0" fontId="103" fillId="3" borderId="0" xfId="0" applyFont="1" applyFill="1" applyBorder="1" applyAlignment="1" applyProtection="1">
      <alignment vertical="center" wrapText="1"/>
      <protection locked="0"/>
    </xf>
    <xf numFmtId="4" fontId="105" fillId="4" borderId="6" xfId="0" applyNumberFormat="1" applyFont="1" applyFill="1" applyBorder="1"/>
    <xf numFmtId="4" fontId="83" fillId="0" borderId="3" xfId="0" applyNumberFormat="1" applyFont="1" applyBorder="1" applyAlignment="1">
      <alignment wrapText="1"/>
    </xf>
    <xf numFmtId="4" fontId="83" fillId="0" borderId="17" xfId="0" applyNumberFormat="1" applyFont="1" applyFill="1" applyBorder="1" applyProtection="1">
      <protection locked="0"/>
    </xf>
    <xf numFmtId="4" fontId="83" fillId="7" borderId="20" xfId="0" applyNumberFormat="1" applyFont="1" applyFill="1" applyBorder="1"/>
    <xf numFmtId="4" fontId="83" fillId="0" borderId="1" xfId="0" applyNumberFormat="1" applyFont="1" applyFill="1" applyBorder="1" applyProtection="1">
      <protection locked="0"/>
    </xf>
    <xf numFmtId="4" fontId="2" fillId="18" borderId="1" xfId="6" applyNumberFormat="1" applyFont="1" applyFill="1" applyBorder="1" applyAlignment="1" applyProtection="1">
      <alignment horizontal="right" vertical="center"/>
    </xf>
    <xf numFmtId="4" fontId="16" fillId="4" borderId="6" xfId="0" applyNumberFormat="1" applyFont="1" applyFill="1" applyBorder="1"/>
    <xf numFmtId="4" fontId="83" fillId="0" borderId="3" xfId="0" applyNumberFormat="1" applyFont="1" applyFill="1" applyBorder="1"/>
    <xf numFmtId="4" fontId="83" fillId="18" borderId="6" xfId="0" applyNumberFormat="1" applyFont="1" applyFill="1" applyBorder="1"/>
    <xf numFmtId="4" fontId="85" fillId="0" borderId="1" xfId="0" applyNumberFormat="1" applyFont="1" applyFill="1" applyBorder="1" applyProtection="1"/>
    <xf numFmtId="4" fontId="83" fillId="7" borderId="17" xfId="0" applyNumberFormat="1" applyFont="1" applyFill="1" applyBorder="1"/>
    <xf numFmtId="0" fontId="85" fillId="3" borderId="1" xfId="0" applyFont="1" applyFill="1" applyBorder="1" applyAlignment="1">
      <alignment horizontal="left" vertical="center" wrapText="1"/>
    </xf>
    <xf numFmtId="180" fontId="2" fillId="0" borderId="6" xfId="6" applyNumberFormat="1" applyFont="1" applyFill="1" applyBorder="1" applyAlignment="1" applyProtection="1">
      <alignment horizontal="center" vertical="center" wrapText="1"/>
    </xf>
    <xf numFmtId="4" fontId="117" fillId="25" borderId="7" xfId="6" applyNumberFormat="1" applyFont="1" applyFill="1" applyBorder="1" applyAlignment="1" applyProtection="1">
      <alignment horizontal="center" vertical="center" wrapText="1"/>
    </xf>
    <xf numFmtId="180" fontId="117" fillId="25" borderId="6" xfId="6" applyNumberFormat="1" applyFont="1" applyFill="1" applyBorder="1" applyAlignment="1" applyProtection="1">
      <alignment horizontal="center" vertical="center" wrapText="1"/>
    </xf>
    <xf numFmtId="0" fontId="85" fillId="26" borderId="20" xfId="0" applyFont="1" applyFill="1" applyBorder="1" applyAlignment="1">
      <alignment horizontal="left" vertical="center" wrapText="1"/>
    </xf>
    <xf numFmtId="0" fontId="85" fillId="3" borderId="1" xfId="0" applyFont="1" applyFill="1" applyBorder="1" applyAlignment="1">
      <alignment wrapText="1"/>
    </xf>
    <xf numFmtId="0" fontId="85" fillId="3" borderId="6" xfId="0" applyFont="1" applyFill="1" applyBorder="1" applyAlignment="1">
      <alignment horizontal="left" vertical="center" wrapText="1"/>
    </xf>
    <xf numFmtId="0" fontId="85" fillId="3" borderId="1" xfId="0" applyFont="1" applyFill="1" applyBorder="1" applyAlignment="1">
      <alignment horizontal="left" vertical="center" wrapText="1"/>
    </xf>
    <xf numFmtId="0" fontId="12" fillId="3" borderId="1" xfId="6" applyFont="1" applyFill="1" applyBorder="1" applyAlignment="1">
      <alignment horizontal="center" vertical="center" wrapText="1"/>
    </xf>
    <xf numFmtId="0" fontId="12" fillId="3" borderId="5" xfId="6" applyFont="1" applyFill="1" applyBorder="1" applyAlignment="1">
      <alignment horizontal="center" vertical="center" wrapText="1"/>
    </xf>
    <xf numFmtId="16" fontId="17" fillId="3" borderId="43" xfId="6" applyNumberFormat="1" applyFont="1" applyFill="1" applyBorder="1" applyAlignment="1">
      <alignment horizontal="left" wrapText="1" indent="2"/>
    </xf>
    <xf numFmtId="4" fontId="85" fillId="0" borderId="23" xfId="0" applyNumberFormat="1" applyFont="1" applyBorder="1" applyProtection="1">
      <protection locked="0"/>
    </xf>
    <xf numFmtId="4" fontId="83" fillId="6" borderId="3" xfId="0" applyNumberFormat="1" applyFont="1" applyFill="1" applyBorder="1" applyProtection="1"/>
    <xf numFmtId="4" fontId="83" fillId="6" borderId="4" xfId="0" applyNumberFormat="1" applyFont="1" applyFill="1" applyBorder="1" applyProtection="1"/>
    <xf numFmtId="0" fontId="85" fillId="0" borderId="1" xfId="0" applyFont="1" applyFill="1" applyBorder="1" applyAlignment="1"/>
    <xf numFmtId="3" fontId="8" fillId="3" borderId="1" xfId="6" applyNumberFormat="1" applyFont="1" applyFill="1" applyBorder="1" applyAlignment="1" applyProtection="1">
      <alignment horizontal="center" vertical="center"/>
      <protection locked="0"/>
    </xf>
    <xf numFmtId="0" fontId="23" fillId="0" borderId="0" xfId="6" applyFont="1" applyFill="1" applyBorder="1" applyAlignment="1"/>
    <xf numFmtId="0" fontId="118" fillId="0" borderId="0" xfId="0" applyFont="1"/>
    <xf numFmtId="182" fontId="12" fillId="3" borderId="6" xfId="6" applyNumberFormat="1" applyFont="1" applyFill="1" applyBorder="1" applyAlignment="1" applyProtection="1">
      <alignment vertical="center"/>
      <protection locked="0"/>
    </xf>
    <xf numFmtId="182" fontId="12" fillId="3" borderId="7" xfId="6" applyNumberFormat="1" applyFont="1" applyFill="1" applyBorder="1" applyAlignment="1" applyProtection="1">
      <alignment vertical="center"/>
      <protection locked="0"/>
    </xf>
    <xf numFmtId="0" fontId="12" fillId="0" borderId="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3" borderId="9" xfId="6"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3" borderId="2" xfId="6" applyFont="1" applyFill="1" applyBorder="1" applyAlignment="1">
      <alignment horizontal="center" vertical="center" wrapText="1"/>
    </xf>
    <xf numFmtId="182" fontId="12" fillId="3" borderId="8" xfId="6" applyNumberFormat="1" applyFont="1" applyFill="1" applyBorder="1" applyAlignment="1" applyProtection="1">
      <alignment vertical="center"/>
      <protection locked="0"/>
    </xf>
    <xf numFmtId="180" fontId="12" fillId="3" borderId="6"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24" xfId="6" applyNumberFormat="1" applyFont="1" applyFill="1" applyBorder="1" applyAlignment="1" applyProtection="1">
      <alignment vertical="center"/>
      <protection locked="0"/>
    </xf>
    <xf numFmtId="4" fontId="118" fillId="0" borderId="8" xfId="0" applyNumberFormat="1" applyFont="1" applyBorder="1" applyAlignment="1">
      <alignment horizontal="center" vertical="center"/>
    </xf>
    <xf numFmtId="4" fontId="118" fillId="0" borderId="7" xfId="0" applyNumberFormat="1" applyFont="1" applyBorder="1" applyAlignment="1">
      <alignment horizontal="center" vertical="center"/>
    </xf>
    <xf numFmtId="4" fontId="118" fillId="0" borderId="24" xfId="0" applyNumberFormat="1" applyFont="1" applyBorder="1" applyAlignment="1">
      <alignment horizontal="center" vertical="center"/>
    </xf>
    <xf numFmtId="16" fontId="85" fillId="3" borderId="13" xfId="0" applyNumberFormat="1" applyFont="1" applyFill="1" applyBorder="1" applyAlignment="1">
      <alignment horizontal="center" vertical="center"/>
    </xf>
    <xf numFmtId="0" fontId="2" fillId="3" borderId="13" xfId="0" applyFont="1" applyFill="1" applyBorder="1" applyAlignment="1">
      <alignment horizontal="left" vertical="center" wrapText="1"/>
    </xf>
    <xf numFmtId="0" fontId="107" fillId="3" borderId="19" xfId="0" applyFont="1" applyFill="1" applyBorder="1" applyAlignment="1">
      <alignment horizontal="center"/>
    </xf>
    <xf numFmtId="0" fontId="107" fillId="3" borderId="44" xfId="0" applyFont="1" applyFill="1" applyBorder="1"/>
    <xf numFmtId="0" fontId="107" fillId="3" borderId="45" xfId="0" applyFont="1" applyFill="1" applyBorder="1"/>
    <xf numFmtId="0" fontId="107" fillId="3" borderId="43" xfId="0" applyFont="1" applyFill="1" applyBorder="1"/>
    <xf numFmtId="0" fontId="107" fillId="0" borderId="43" xfId="0" applyFont="1" applyBorder="1"/>
    <xf numFmtId="0" fontId="107" fillId="3" borderId="46" xfId="0" applyFont="1" applyFill="1" applyBorder="1"/>
    <xf numFmtId="16" fontId="85" fillId="3" borderId="15" xfId="0" applyNumberFormat="1" applyFont="1" applyFill="1" applyBorder="1" applyAlignment="1">
      <alignment horizontal="center" vertical="center"/>
    </xf>
    <xf numFmtId="0" fontId="107" fillId="3" borderId="4" xfId="0" applyFont="1" applyFill="1" applyBorder="1" applyAlignment="1">
      <alignment horizontal="center"/>
    </xf>
    <xf numFmtId="4" fontId="8" fillId="3" borderId="6" xfId="6" applyNumberFormat="1" applyFont="1" applyFill="1" applyBorder="1" applyAlignment="1" applyProtection="1">
      <alignment horizontal="center" vertical="center"/>
      <protection locked="0"/>
    </xf>
    <xf numFmtId="4" fontId="8" fillId="3" borderId="7" xfId="6" applyNumberFormat="1" applyFont="1" applyFill="1" applyBorder="1" applyAlignment="1" applyProtection="1">
      <alignment horizontal="center" vertical="center"/>
      <protection locked="0"/>
    </xf>
    <xf numFmtId="0" fontId="101" fillId="9" borderId="0" xfId="0" applyFont="1" applyFill="1" applyAlignment="1">
      <alignment wrapText="1"/>
    </xf>
    <xf numFmtId="0" fontId="107" fillId="27" borderId="3" xfId="0" applyFont="1" applyFill="1" applyBorder="1" applyAlignment="1">
      <alignment horizontal="center" wrapText="1"/>
    </xf>
    <xf numFmtId="0" fontId="2" fillId="3" borderId="38" xfId="6" applyFont="1" applyFill="1" applyBorder="1" applyAlignment="1">
      <alignment horizontal="center" vertical="center"/>
    </xf>
    <xf numFmtId="0" fontId="2" fillId="3" borderId="13" xfId="6" applyFont="1" applyFill="1" applyBorder="1" applyAlignment="1">
      <alignment horizontal="center" vertical="center" wrapText="1"/>
    </xf>
    <xf numFmtId="0" fontId="17" fillId="3" borderId="1" xfId="6" applyFont="1" applyFill="1" applyBorder="1" applyAlignment="1">
      <alignment horizontal="center" vertical="center"/>
    </xf>
    <xf numFmtId="0" fontId="2" fillId="3" borderId="17" xfId="6" applyFont="1" applyFill="1" applyBorder="1" applyAlignment="1">
      <alignment horizontal="center" vertical="center"/>
    </xf>
    <xf numFmtId="16" fontId="17" fillId="3" borderId="2" xfId="6" applyNumberFormat="1" applyFont="1" applyFill="1" applyBorder="1" applyAlignment="1">
      <alignment horizontal="left" wrapText="1" indent="2"/>
    </xf>
    <xf numFmtId="16" fontId="17" fillId="3" borderId="8" xfId="6" applyNumberFormat="1" applyFont="1" applyFill="1" applyBorder="1" applyAlignment="1">
      <alignment horizontal="left" wrapText="1" indent="2"/>
    </xf>
    <xf numFmtId="0" fontId="81" fillId="0" borderId="3" xfId="0" applyFont="1" applyBorder="1" applyAlignment="1">
      <alignment horizontal="center" vertical="center" wrapText="1"/>
    </xf>
    <xf numFmtId="0" fontId="81" fillId="0" borderId="4" xfId="0" applyFont="1" applyBorder="1" applyAlignment="1">
      <alignment horizontal="center" vertical="center" wrapText="1"/>
    </xf>
    <xf numFmtId="4" fontId="85" fillId="6" borderId="1" xfId="0" applyNumberFormat="1" applyFont="1" applyFill="1" applyBorder="1" applyAlignment="1">
      <alignment horizontal="center"/>
    </xf>
    <xf numFmtId="0" fontId="103" fillId="0" borderId="13" xfId="0" applyFont="1" applyBorder="1" applyAlignment="1">
      <alignment horizontal="center" vertical="center" wrapText="1"/>
    </xf>
    <xf numFmtId="0" fontId="103" fillId="0" borderId="19" xfId="0" applyFont="1" applyBorder="1" applyAlignment="1">
      <alignment horizontal="center" vertical="center" wrapText="1"/>
    </xf>
    <xf numFmtId="4" fontId="85" fillId="6" borderId="6" xfId="0" applyNumberFormat="1" applyFont="1" applyFill="1" applyBorder="1" applyAlignment="1">
      <alignment horizontal="center"/>
    </xf>
    <xf numFmtId="4" fontId="8" fillId="3" borderId="1" xfId="6" applyNumberFormat="1" applyFont="1" applyFill="1" applyBorder="1" applyAlignment="1" applyProtection="1">
      <alignment horizontal="center" vertical="center" wrapText="1"/>
    </xf>
    <xf numFmtId="4" fontId="8" fillId="3" borderId="11" xfId="6" applyNumberFormat="1" applyFont="1" applyFill="1" applyBorder="1" applyAlignment="1" applyProtection="1">
      <alignment horizontal="center" vertical="center" wrapText="1"/>
    </xf>
    <xf numFmtId="0" fontId="8" fillId="3" borderId="1" xfId="6" applyFont="1" applyFill="1" applyBorder="1" applyAlignment="1">
      <alignment horizontal="center" vertical="center" wrapText="1"/>
    </xf>
    <xf numFmtId="4" fontId="2" fillId="17" borderId="1" xfId="6" applyNumberFormat="1" applyFont="1" applyFill="1" applyBorder="1" applyAlignment="1" applyProtection="1">
      <alignment horizontal="center" vertical="center"/>
    </xf>
    <xf numFmtId="4" fontId="2" fillId="3" borderId="1" xfId="6" applyNumberFormat="1" applyFont="1" applyFill="1" applyBorder="1" applyAlignment="1" applyProtection="1">
      <alignment horizontal="center" vertical="center"/>
      <protection locked="0"/>
    </xf>
    <xf numFmtId="4" fontId="2" fillId="3" borderId="1" xfId="6" applyNumberFormat="1" applyFont="1" applyFill="1" applyBorder="1" applyAlignment="1" applyProtection="1">
      <alignment horizontal="center" vertical="center"/>
    </xf>
    <xf numFmtId="4" fontId="16" fillId="17" borderId="5" xfId="6" applyNumberFormat="1" applyFont="1" applyFill="1" applyBorder="1" applyAlignment="1">
      <alignment horizontal="center" vertical="center"/>
    </xf>
    <xf numFmtId="4" fontId="2" fillId="3" borderId="6" xfId="6" applyNumberFormat="1" applyFont="1" applyFill="1" applyBorder="1" applyAlignment="1" applyProtection="1">
      <alignment horizontal="center" vertical="center"/>
    </xf>
    <xf numFmtId="4" fontId="2" fillId="17" borderId="11" xfId="6" applyNumberFormat="1" applyFont="1" applyFill="1" applyBorder="1" applyAlignment="1" applyProtection="1">
      <alignment horizontal="center" vertical="center"/>
    </xf>
    <xf numFmtId="4" fontId="6" fillId="17" borderId="12" xfId="6" applyNumberFormat="1" applyFont="1" applyFill="1" applyBorder="1" applyAlignment="1">
      <alignment horizontal="center" vertical="center"/>
    </xf>
    <xf numFmtId="0" fontId="6" fillId="3" borderId="21" xfId="6" applyFont="1" applyFill="1" applyBorder="1" applyAlignment="1">
      <alignment horizontal="center" vertical="center"/>
    </xf>
    <xf numFmtId="4" fontId="7" fillId="17" borderId="11" xfId="6" applyNumberFormat="1" applyFont="1" applyFill="1" applyBorder="1" applyAlignment="1">
      <alignment horizontal="center" vertical="center"/>
    </xf>
    <xf numFmtId="4" fontId="7" fillId="17" borderId="12" xfId="6" applyNumberFormat="1" applyFont="1" applyFill="1" applyBorder="1" applyAlignment="1">
      <alignment horizontal="center" vertical="center"/>
    </xf>
    <xf numFmtId="4" fontId="6" fillId="17" borderId="32" xfId="6" applyNumberFormat="1" applyFont="1" applyFill="1" applyBorder="1" applyAlignment="1">
      <alignment horizontal="center" vertical="center"/>
    </xf>
    <xf numFmtId="4" fontId="16" fillId="17" borderId="9" xfId="6" applyNumberFormat="1" applyFont="1" applyFill="1" applyBorder="1" applyAlignment="1">
      <alignment horizontal="center" vertical="center"/>
    </xf>
    <xf numFmtId="4" fontId="2" fillId="3" borderId="24" xfId="6" applyNumberFormat="1" applyFont="1" applyFill="1" applyBorder="1" applyAlignment="1" applyProtection="1">
      <alignment horizontal="center" vertical="center"/>
      <protection locked="0"/>
    </xf>
    <xf numFmtId="4" fontId="6" fillId="17" borderId="21" xfId="6" applyNumberFormat="1" applyFont="1" applyFill="1" applyBorder="1" applyAlignment="1">
      <alignment horizontal="center" vertical="center"/>
    </xf>
    <xf numFmtId="4" fontId="6" fillId="17" borderId="2" xfId="6" applyNumberFormat="1" applyFont="1" applyFill="1" applyBorder="1" applyAlignment="1">
      <alignment horizontal="center" vertical="center"/>
    </xf>
    <xf numFmtId="4" fontId="6" fillId="17" borderId="8" xfId="6" applyNumberFormat="1" applyFont="1" applyFill="1" applyBorder="1" applyAlignment="1">
      <alignment horizontal="center" vertical="center"/>
    </xf>
    <xf numFmtId="4" fontId="6" fillId="17" borderId="21" xfId="6" applyNumberFormat="1" applyFont="1" applyFill="1" applyBorder="1" applyAlignment="1" applyProtection="1">
      <alignment horizontal="center" vertical="center"/>
    </xf>
    <xf numFmtId="4" fontId="6" fillId="17" borderId="2" xfId="6" applyNumberFormat="1" applyFont="1" applyFill="1" applyBorder="1" applyAlignment="1" applyProtection="1">
      <alignment horizontal="center" vertical="center"/>
    </xf>
    <xf numFmtId="4" fontId="6" fillId="17" borderId="8" xfId="6" applyNumberFormat="1" applyFont="1" applyFill="1" applyBorder="1" applyAlignment="1" applyProtection="1">
      <alignment horizontal="center" vertical="center"/>
    </xf>
    <xf numFmtId="0" fontId="2" fillId="3" borderId="37" xfId="6" applyFont="1" applyFill="1" applyBorder="1" applyAlignment="1" applyProtection="1">
      <alignment horizontal="center" vertical="center"/>
    </xf>
    <xf numFmtId="0" fontId="6" fillId="3" borderId="36" xfId="6" applyFont="1" applyFill="1" applyBorder="1" applyAlignment="1">
      <alignment horizontal="center" vertical="center"/>
    </xf>
    <xf numFmtId="4" fontId="6" fillId="3" borderId="34" xfId="6" applyNumberFormat="1" applyFont="1" applyFill="1" applyBorder="1" applyAlignment="1" applyProtection="1">
      <alignment horizontal="center" vertical="center"/>
      <protection locked="0"/>
    </xf>
    <xf numFmtId="4" fontId="6" fillId="17" borderId="47" xfId="6" applyNumberFormat="1" applyFont="1" applyFill="1" applyBorder="1" applyAlignment="1">
      <alignment horizontal="center" vertical="center"/>
    </xf>
    <xf numFmtId="4" fontId="6" fillId="17" borderId="36" xfId="6" applyNumberFormat="1" applyFont="1" applyFill="1" applyBorder="1" applyAlignment="1">
      <alignment horizontal="center" vertical="center"/>
    </xf>
    <xf numFmtId="4" fontId="2" fillId="17" borderId="20" xfId="6" applyNumberFormat="1" applyFont="1" applyFill="1" applyBorder="1" applyAlignment="1" applyProtection="1">
      <alignment horizontal="center" vertical="center"/>
    </xf>
    <xf numFmtId="3" fontId="2" fillId="3" borderId="5" xfId="6" applyNumberFormat="1" applyFont="1" applyFill="1" applyBorder="1" applyAlignment="1">
      <alignment horizontal="center" vertical="center"/>
    </xf>
    <xf numFmtId="181" fontId="2" fillId="4" borderId="19" xfId="6" applyNumberFormat="1" applyFont="1" applyFill="1" applyBorder="1" applyAlignment="1" applyProtection="1">
      <alignment horizontal="right" vertical="center"/>
    </xf>
    <xf numFmtId="0" fontId="80" fillId="0" borderId="1" xfId="0" applyFont="1" applyBorder="1" applyProtection="1">
      <protection locked="0"/>
    </xf>
    <xf numFmtId="4" fontId="80" fillId="0" borderId="1" xfId="0" applyNumberFormat="1" applyFont="1" applyBorder="1" applyProtection="1">
      <protection locked="0"/>
    </xf>
    <xf numFmtId="4" fontId="2" fillId="3" borderId="1" xfId="6" applyNumberFormat="1" applyFont="1" applyFill="1" applyBorder="1" applyAlignment="1" applyProtection="1">
      <alignment horizontal="center" vertical="center" wrapText="1"/>
      <protection locked="0"/>
    </xf>
    <xf numFmtId="4" fontId="116" fillId="0" borderId="1" xfId="0" applyNumberFormat="1" applyFont="1" applyBorder="1" applyProtection="1">
      <protection locked="0"/>
    </xf>
    <xf numFmtId="0" fontId="94" fillId="3" borderId="1" xfId="6" applyFont="1" applyFill="1" applyBorder="1" applyAlignment="1" applyProtection="1">
      <alignment vertical="center" wrapText="1"/>
      <protection locked="0"/>
    </xf>
    <xf numFmtId="0" fontId="2" fillId="0" borderId="1" xfId="6" applyFont="1" applyFill="1" applyBorder="1" applyAlignment="1" applyProtection="1">
      <alignment vertical="center"/>
      <protection locked="0"/>
    </xf>
    <xf numFmtId="0" fontId="5" fillId="0" borderId="1" xfId="6" applyFont="1" applyFill="1" applyBorder="1" applyAlignment="1" applyProtection="1">
      <alignment vertical="center"/>
      <protection locked="0"/>
    </xf>
    <xf numFmtId="4" fontId="85" fillId="0" borderId="1" xfId="0" applyNumberFormat="1" applyFont="1" applyBorder="1" applyAlignment="1" applyProtection="1">
      <alignment horizontal="center"/>
      <protection locked="0"/>
    </xf>
    <xf numFmtId="0" fontId="85" fillId="0" borderId="1" xfId="0" applyFont="1" applyBorder="1" applyAlignment="1" applyProtection="1">
      <alignment horizontal="center"/>
      <protection locked="0"/>
    </xf>
    <xf numFmtId="182" fontId="85" fillId="3" borderId="0" xfId="0" applyNumberFormat="1" applyFont="1" applyFill="1" applyBorder="1" applyAlignment="1" applyProtection="1">
      <alignment horizontal="center" vertical="center"/>
    </xf>
    <xf numFmtId="182" fontId="85" fillId="3" borderId="0" xfId="0" applyNumberFormat="1" applyFont="1" applyFill="1" applyBorder="1" applyAlignment="1" applyProtection="1">
      <protection locked="0"/>
    </xf>
    <xf numFmtId="0" fontId="85" fillId="3" borderId="0" xfId="0" applyFont="1" applyFill="1" applyBorder="1" applyProtection="1"/>
    <xf numFmtId="0" fontId="83" fillId="3" borderId="0" xfId="0" applyFont="1" applyFill="1" applyBorder="1" applyAlignment="1" applyProtection="1">
      <alignment horizontal="center" wrapText="1"/>
    </xf>
    <xf numFmtId="0" fontId="86" fillId="3" borderId="0" xfId="0" applyFont="1" applyFill="1" applyBorder="1" applyAlignment="1" applyProtection="1">
      <alignment horizontal="center"/>
    </xf>
    <xf numFmtId="182" fontId="85" fillId="3" borderId="0" xfId="0" applyNumberFormat="1" applyFont="1" applyFill="1" applyBorder="1" applyAlignment="1" applyProtection="1">
      <alignment horizontal="center"/>
    </xf>
    <xf numFmtId="4" fontId="6" fillId="0" borderId="1" xfId="6" applyNumberFormat="1" applyFont="1" applyFill="1" applyBorder="1" applyAlignment="1" applyProtection="1">
      <alignment horizontal="center" vertical="center"/>
      <protection locked="0"/>
    </xf>
    <xf numFmtId="4" fontId="2" fillId="3" borderId="9" xfId="6" applyNumberFormat="1" applyFont="1" applyFill="1" applyBorder="1" applyAlignment="1" applyProtection="1">
      <alignment horizontal="center" vertical="center"/>
      <protection locked="0"/>
    </xf>
    <xf numFmtId="4" fontId="9" fillId="0" borderId="1" xfId="6" applyNumberFormat="1" applyFont="1" applyFill="1" applyBorder="1" applyAlignment="1" applyProtection="1">
      <alignment horizontal="center" vertical="center"/>
      <protection locked="0"/>
    </xf>
    <xf numFmtId="0" fontId="52" fillId="0" borderId="3" xfId="0" applyFont="1" applyBorder="1"/>
    <xf numFmtId="0" fontId="55" fillId="0" borderId="3" xfId="0" applyFont="1" applyBorder="1"/>
    <xf numFmtId="0" fontId="53" fillId="0" borderId="4" xfId="0" applyFont="1" applyBorder="1"/>
    <xf numFmtId="182" fontId="9" fillId="0" borderId="1" xfId="0" applyNumberFormat="1" applyFont="1" applyFill="1" applyBorder="1" applyProtection="1">
      <protection locked="0"/>
    </xf>
    <xf numFmtId="0" fontId="4" fillId="0" borderId="3" xfId="0" applyFont="1" applyBorder="1" applyAlignment="1">
      <alignment wrapText="1"/>
    </xf>
    <xf numFmtId="0" fontId="56" fillId="0" borderId="3" xfId="0" applyFont="1" applyBorder="1" applyAlignment="1">
      <alignment wrapText="1"/>
    </xf>
    <xf numFmtId="182" fontId="4" fillId="0" borderId="17" xfId="0" applyNumberFormat="1" applyFont="1" applyFill="1" applyBorder="1" applyProtection="1">
      <protection locked="0"/>
    </xf>
    <xf numFmtId="0" fontId="3" fillId="0" borderId="3" xfId="0" applyFont="1" applyBorder="1" applyAlignment="1">
      <alignment horizontal="center" vertical="center" wrapText="1"/>
    </xf>
    <xf numFmtId="0" fontId="54" fillId="0" borderId="3" xfId="0" applyFont="1" applyBorder="1" applyAlignment="1">
      <alignment horizontal="center" vertical="center" wrapText="1"/>
    </xf>
    <xf numFmtId="0" fontId="9" fillId="0" borderId="1" xfId="0" applyFont="1" applyBorder="1" applyAlignment="1">
      <alignment horizontal="center"/>
    </xf>
    <xf numFmtId="2" fontId="4" fillId="0" borderId="1" xfId="0" applyNumberFormat="1" applyFont="1" applyFill="1" applyBorder="1" applyProtection="1">
      <protection locked="0"/>
    </xf>
    <xf numFmtId="2" fontId="56" fillId="0" borderId="1" xfId="0" applyNumberFormat="1" applyFont="1" applyFill="1" applyBorder="1" applyProtection="1">
      <protection locked="0"/>
    </xf>
    <xf numFmtId="182" fontId="9" fillId="2" borderId="1" xfId="0" applyNumberFormat="1" applyFont="1" applyFill="1" applyBorder="1" applyProtection="1">
      <protection locked="0"/>
    </xf>
    <xf numFmtId="182" fontId="4" fillId="0" borderId="3" xfId="0" applyNumberFormat="1" applyFont="1" applyFill="1" applyBorder="1"/>
    <xf numFmtId="182" fontId="56" fillId="0" borderId="3" xfId="0" applyNumberFormat="1" applyFont="1" applyFill="1" applyBorder="1"/>
    <xf numFmtId="182" fontId="9" fillId="0" borderId="1" xfId="0" applyNumberFormat="1" applyFont="1" applyFill="1" applyBorder="1" applyProtection="1"/>
    <xf numFmtId="4" fontId="3" fillId="0" borderId="1" xfId="0" applyNumberFormat="1" applyFont="1" applyBorder="1" applyProtection="1">
      <protection locked="0"/>
    </xf>
    <xf numFmtId="0" fontId="2" fillId="3" borderId="48" xfId="6" applyFont="1" applyFill="1" applyBorder="1" applyAlignment="1">
      <alignment horizontal="center" vertical="center"/>
    </xf>
    <xf numFmtId="4" fontId="6" fillId="17" borderId="49" xfId="6" applyNumberFormat="1" applyFont="1" applyFill="1" applyBorder="1" applyAlignment="1">
      <alignment horizontal="center" vertical="center"/>
    </xf>
    <xf numFmtId="4" fontId="16" fillId="17" borderId="50" xfId="6" applyNumberFormat="1" applyFont="1" applyFill="1" applyBorder="1" applyAlignment="1">
      <alignment horizontal="center" vertical="center"/>
    </xf>
    <xf numFmtId="4" fontId="2" fillId="3" borderId="50" xfId="6" applyNumberFormat="1" applyFont="1" applyFill="1" applyBorder="1" applyAlignment="1" applyProtection="1">
      <alignment horizontal="center" vertical="center"/>
      <protection locked="0"/>
    </xf>
    <xf numFmtId="4" fontId="6" fillId="3" borderId="50" xfId="6" applyNumberFormat="1" applyFont="1" applyFill="1" applyBorder="1" applyAlignment="1" applyProtection="1">
      <alignment horizontal="center" vertical="center"/>
      <protection locked="0"/>
    </xf>
    <xf numFmtId="4" fontId="6" fillId="3" borderId="51" xfId="6" applyNumberFormat="1" applyFont="1" applyFill="1" applyBorder="1" applyAlignment="1" applyProtection="1">
      <alignment horizontal="center" vertical="center"/>
      <protection locked="0"/>
    </xf>
    <xf numFmtId="4" fontId="7" fillId="17" borderId="1" xfId="6" applyNumberFormat="1" applyFont="1" applyFill="1" applyBorder="1" applyAlignment="1">
      <alignment horizontal="center" vertical="center"/>
    </xf>
    <xf numFmtId="4" fontId="7" fillId="17" borderId="5" xfId="6" applyNumberFormat="1" applyFont="1" applyFill="1" applyBorder="1" applyAlignment="1">
      <alignment horizontal="center" vertical="center"/>
    </xf>
    <xf numFmtId="4" fontId="7" fillId="2" borderId="5" xfId="6" applyNumberFormat="1" applyFont="1" applyFill="1" applyBorder="1" applyAlignment="1" applyProtection="1">
      <alignment horizontal="center" vertical="center"/>
      <protection locked="0"/>
    </xf>
    <xf numFmtId="4" fontId="9" fillId="0" borderId="6" xfId="6" applyNumberFormat="1" applyFont="1" applyFill="1" applyBorder="1" applyAlignment="1" applyProtection="1">
      <alignment horizontal="center" vertical="center"/>
      <protection locked="0"/>
    </xf>
    <xf numFmtId="181" fontId="16" fillId="6" borderId="1" xfId="6" applyNumberFormat="1" applyFont="1" applyFill="1" applyBorder="1" applyAlignment="1" applyProtection="1">
      <alignment horizontal="center" vertical="center"/>
    </xf>
    <xf numFmtId="4" fontId="85" fillId="6" borderId="11" xfId="0" applyNumberFormat="1" applyFont="1" applyFill="1" applyBorder="1"/>
    <xf numFmtId="4" fontId="85" fillId="6" borderId="6" xfId="0" applyNumberFormat="1" applyFont="1" applyFill="1" applyBorder="1"/>
    <xf numFmtId="4" fontId="85" fillId="6" borderId="13" xfId="0" applyNumberFormat="1" applyFont="1" applyFill="1" applyBorder="1"/>
    <xf numFmtId="16" fontId="17" fillId="3" borderId="2" xfId="6" applyNumberFormat="1" applyFont="1" applyFill="1" applyBorder="1" applyAlignment="1">
      <alignment horizontal="center" vertical="center" wrapText="1"/>
    </xf>
    <xf numFmtId="1" fontId="17" fillId="3" borderId="5" xfId="6" applyNumberFormat="1" applyFont="1" applyFill="1" applyBorder="1" applyAlignment="1">
      <alignment horizontal="center" vertical="center" wrapText="1"/>
    </xf>
    <xf numFmtId="1" fontId="8" fillId="0" borderId="1" xfId="6" quotePrefix="1"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1" fontId="8" fillId="0" borderId="6" xfId="6" quotePrefix="1" applyNumberFormat="1" applyFont="1" applyFill="1" applyBorder="1" applyAlignment="1" applyProtection="1">
      <alignment horizontal="center" vertical="center"/>
      <protection locked="0"/>
    </xf>
    <xf numFmtId="182" fontId="8" fillId="3" borderId="6" xfId="6" applyNumberFormat="1" applyFont="1" applyFill="1" applyBorder="1" applyAlignment="1" applyProtection="1">
      <alignment vertical="center"/>
      <protection locked="0"/>
    </xf>
    <xf numFmtId="182" fontId="8" fillId="3" borderId="7" xfId="6" applyNumberFormat="1" applyFont="1" applyFill="1" applyBorder="1" applyAlignment="1" applyProtection="1">
      <alignment vertical="center"/>
      <protection locked="0"/>
    </xf>
    <xf numFmtId="3" fontId="85" fillId="6" borderId="1" xfId="0" applyNumberFormat="1" applyFont="1" applyFill="1" applyBorder="1" applyAlignment="1">
      <alignment horizontal="center" vertical="center"/>
    </xf>
    <xf numFmtId="3" fontId="85" fillId="6" borderId="5" xfId="0" applyNumberFormat="1" applyFont="1" applyFill="1" applyBorder="1" applyAlignment="1">
      <alignment horizontal="center" vertical="center"/>
    </xf>
    <xf numFmtId="3" fontId="85" fillId="6" borderId="6" xfId="0" applyNumberFormat="1" applyFont="1" applyFill="1" applyBorder="1" applyAlignment="1">
      <alignment horizontal="center" vertical="center"/>
    </xf>
    <xf numFmtId="3" fontId="85" fillId="6" borderId="7" xfId="0" applyNumberFormat="1" applyFont="1" applyFill="1" applyBorder="1" applyAlignment="1">
      <alignment horizontal="center" vertical="center"/>
    </xf>
    <xf numFmtId="0" fontId="12" fillId="3" borderId="8" xfId="6" applyFont="1" applyFill="1" applyBorder="1" applyAlignment="1">
      <alignment horizontal="center" vertical="center"/>
    </xf>
    <xf numFmtId="0" fontId="85" fillId="6" borderId="1" xfId="0" applyFont="1" applyFill="1" applyBorder="1" applyAlignment="1">
      <alignment horizontal="center"/>
    </xf>
    <xf numFmtId="182" fontId="9" fillId="6" borderId="1" xfId="0" applyNumberFormat="1" applyFont="1" applyFill="1" applyBorder="1"/>
    <xf numFmtId="182" fontId="11" fillId="6" borderId="1" xfId="0" applyNumberFormat="1" applyFont="1" applyFill="1" applyBorder="1"/>
    <xf numFmtId="182" fontId="9" fillId="6" borderId="1" xfId="0" applyNumberFormat="1" applyFont="1" applyFill="1" applyBorder="1" applyProtection="1"/>
    <xf numFmtId="182" fontId="9" fillId="6" borderId="5" xfId="0" applyNumberFormat="1" applyFont="1" applyFill="1" applyBorder="1" applyProtection="1"/>
    <xf numFmtId="180" fontId="2" fillId="6" borderId="1" xfId="6" applyNumberFormat="1" applyFont="1" applyFill="1" applyBorder="1" applyAlignment="1" applyProtection="1">
      <alignment horizontal="right" vertical="center"/>
    </xf>
    <xf numFmtId="182" fontId="16" fillId="6" borderId="6" xfId="0" applyNumberFormat="1" applyFont="1" applyFill="1" applyBorder="1"/>
    <xf numFmtId="182" fontId="4" fillId="6" borderId="6" xfId="0" applyNumberFormat="1" applyFont="1" applyFill="1" applyBorder="1"/>
    <xf numFmtId="182" fontId="56" fillId="6" borderId="6" xfId="0" applyNumberFormat="1" applyFont="1" applyFill="1" applyBorder="1"/>
    <xf numFmtId="0" fontId="83" fillId="6" borderId="20" xfId="0" applyFont="1" applyFill="1" applyBorder="1" applyAlignment="1">
      <alignment horizontal="center"/>
    </xf>
    <xf numFmtId="182" fontId="4" fillId="6" borderId="20" xfId="0" applyNumberFormat="1" applyFont="1" applyFill="1" applyBorder="1"/>
    <xf numFmtId="182" fontId="56" fillId="6" borderId="20" xfId="0" applyNumberFormat="1" applyFont="1" applyFill="1" applyBorder="1"/>
    <xf numFmtId="0" fontId="83" fillId="6" borderId="17" xfId="0" applyFont="1" applyFill="1" applyBorder="1" applyAlignment="1">
      <alignment horizontal="center"/>
    </xf>
    <xf numFmtId="182" fontId="4" fillId="6" borderId="17" xfId="0" applyNumberFormat="1" applyFont="1" applyFill="1" applyBorder="1"/>
    <xf numFmtId="182" fontId="56" fillId="6" borderId="17" xfId="0" applyNumberFormat="1" applyFont="1" applyFill="1" applyBorder="1"/>
    <xf numFmtId="0" fontId="95" fillId="0" borderId="1" xfId="0" applyFont="1" applyBorder="1" applyAlignment="1">
      <alignment horizontal="center" vertical="center" wrapText="1"/>
    </xf>
    <xf numFmtId="0" fontId="86" fillId="0" borderId="13" xfId="0" applyFont="1" applyBorder="1" applyAlignment="1">
      <alignment horizontal="center"/>
    </xf>
    <xf numFmtId="182" fontId="11" fillId="0" borderId="1" xfId="0" applyNumberFormat="1" applyFont="1" applyFill="1" applyBorder="1" applyProtection="1">
      <protection locked="0"/>
    </xf>
    <xf numFmtId="182" fontId="56" fillId="0" borderId="17" xfId="0" applyNumberFormat="1" applyFont="1" applyFill="1" applyBorder="1" applyProtection="1">
      <protection locked="0"/>
    </xf>
    <xf numFmtId="0" fontId="11" fillId="0" borderId="1" xfId="0" applyFont="1" applyBorder="1" applyAlignment="1">
      <alignment horizontal="center"/>
    </xf>
    <xf numFmtId="182" fontId="11" fillId="2" borderId="1" xfId="0" applyNumberFormat="1" applyFont="1" applyFill="1" applyBorder="1" applyProtection="1">
      <protection locked="0"/>
    </xf>
    <xf numFmtId="180" fontId="5" fillId="6" borderId="1" xfId="6" applyNumberFormat="1" applyFont="1" applyFill="1" applyBorder="1" applyAlignment="1" applyProtection="1">
      <alignment horizontal="right" vertical="center"/>
    </xf>
    <xf numFmtId="182" fontId="11" fillId="0" borderId="1" xfId="0" applyNumberFormat="1" applyFont="1" applyFill="1" applyBorder="1" applyProtection="1"/>
    <xf numFmtId="0" fontId="119" fillId="0" borderId="0" xfId="6" applyFont="1" applyFill="1" applyBorder="1" applyAlignment="1">
      <alignment vertical="center"/>
    </xf>
    <xf numFmtId="0" fontId="58" fillId="0" borderId="3" xfId="0" applyFont="1" applyBorder="1"/>
    <xf numFmtId="0" fontId="119" fillId="0" borderId="0" xfId="6" applyFont="1" applyFill="1" applyBorder="1" applyAlignment="1" applyProtection="1">
      <alignment vertical="center"/>
      <protection locked="0"/>
    </xf>
    <xf numFmtId="0" fontId="103" fillId="0" borderId="52" xfId="0" applyFont="1" applyFill="1" applyBorder="1" applyAlignment="1" applyProtection="1">
      <alignment horizontal="center" vertical="center" wrapText="1"/>
    </xf>
    <xf numFmtId="0" fontId="103" fillId="0" borderId="3" xfId="0" applyFont="1" applyFill="1" applyBorder="1" applyAlignment="1" applyProtection="1">
      <alignment horizontal="center" vertical="center" wrapText="1"/>
    </xf>
    <xf numFmtId="0" fontId="103" fillId="0" borderId="53" xfId="0" applyFont="1" applyBorder="1" applyAlignment="1">
      <alignment horizontal="center"/>
    </xf>
    <xf numFmtId="0" fontId="103" fillId="0" borderId="31" xfId="0" applyFont="1" applyBorder="1" applyAlignment="1">
      <alignment horizontal="center"/>
    </xf>
    <xf numFmtId="0" fontId="103" fillId="0" borderId="10" xfId="0" applyFont="1" applyBorder="1" applyAlignment="1">
      <alignment horizontal="center"/>
    </xf>
    <xf numFmtId="0" fontId="103" fillId="0" borderId="16" xfId="0" applyFont="1" applyBorder="1" applyAlignment="1">
      <alignment horizontal="center"/>
    </xf>
    <xf numFmtId="0" fontId="103" fillId="0" borderId="17" xfId="0" applyFont="1" applyBorder="1" applyAlignment="1">
      <alignment horizontal="center"/>
    </xf>
    <xf numFmtId="0" fontId="103" fillId="0" borderId="18" xfId="0" applyFont="1" applyBorder="1" applyAlignment="1">
      <alignment horizontal="center"/>
    </xf>
    <xf numFmtId="0" fontId="103" fillId="0" borderId="11" xfId="0" applyFont="1" applyFill="1" applyBorder="1" applyAlignment="1" applyProtection="1">
      <alignment horizontal="center" vertical="center" wrapText="1"/>
    </xf>
    <xf numFmtId="4" fontId="8" fillId="3" borderId="4" xfId="6" applyNumberFormat="1" applyFont="1" applyFill="1" applyBorder="1" applyAlignment="1" applyProtection="1">
      <alignment horizontal="center" vertical="center" wrapText="1"/>
    </xf>
    <xf numFmtId="4" fontId="102" fillId="8" borderId="6" xfId="0" applyNumberFormat="1" applyFont="1" applyFill="1" applyBorder="1" applyAlignment="1" applyProtection="1">
      <alignment horizontal="center"/>
      <protection locked="0"/>
    </xf>
    <xf numFmtId="4" fontId="8" fillId="3" borderId="2" xfId="6" applyNumberFormat="1" applyFont="1" applyFill="1" applyBorder="1" applyAlignment="1" applyProtection="1">
      <alignment horizontal="center" vertical="center" wrapText="1"/>
    </xf>
    <xf numFmtId="4" fontId="8" fillId="3" borderId="5" xfId="6" applyNumberFormat="1" applyFont="1" applyFill="1" applyBorder="1" applyAlignment="1" applyProtection="1">
      <alignment horizontal="center" vertical="center" wrapText="1"/>
    </xf>
    <xf numFmtId="0" fontId="103" fillId="0" borderId="2" xfId="0" applyFont="1" applyFill="1" applyBorder="1" applyAlignment="1" applyProtection="1">
      <alignment horizontal="center" vertical="center" wrapText="1"/>
    </xf>
    <xf numFmtId="0" fontId="103" fillId="0" borderId="1" xfId="0" applyFont="1" applyFill="1" applyBorder="1" applyAlignment="1" applyProtection="1">
      <alignment horizontal="center" vertical="center" wrapText="1"/>
    </xf>
    <xf numFmtId="4" fontId="102" fillId="8" borderId="8" xfId="0" applyNumberFormat="1" applyFont="1" applyFill="1" applyBorder="1" applyAlignment="1" applyProtection="1">
      <alignment horizontal="center"/>
      <protection locked="0"/>
    </xf>
    <xf numFmtId="0" fontId="103" fillId="0" borderId="28" xfId="0" applyFont="1" applyFill="1" applyBorder="1" applyAlignment="1" applyProtection="1">
      <alignment horizontal="center" vertical="center" wrapText="1"/>
    </xf>
    <xf numFmtId="0" fontId="103" fillId="0" borderId="54" xfId="0" applyFont="1" applyBorder="1" applyAlignment="1">
      <alignment horizontal="center"/>
    </xf>
    <xf numFmtId="4" fontId="8" fillId="3" borderId="9" xfId="6" applyNumberFormat="1" applyFont="1" applyFill="1" applyBorder="1" applyAlignment="1" applyProtection="1">
      <alignment horizontal="center" vertical="center" wrapText="1"/>
    </xf>
    <xf numFmtId="180" fontId="97" fillId="0" borderId="9" xfId="0" applyNumberFormat="1" applyFont="1" applyFill="1" applyBorder="1" applyAlignment="1" applyProtection="1">
      <alignment horizontal="center"/>
    </xf>
    <xf numFmtId="0" fontId="103" fillId="0" borderId="9" xfId="0" applyFont="1" applyFill="1" applyBorder="1" applyAlignment="1" applyProtection="1">
      <alignment horizontal="center" vertical="center" wrapText="1"/>
    </xf>
    <xf numFmtId="180" fontId="102" fillId="8" borderId="9" xfId="0" applyNumberFormat="1" applyFont="1" applyFill="1" applyBorder="1" applyAlignment="1" applyProtection="1">
      <alignment horizontal="center"/>
    </xf>
    <xf numFmtId="4" fontId="102" fillId="8" borderId="24" xfId="0" applyNumberFormat="1" applyFont="1" applyFill="1" applyBorder="1" applyAlignment="1" applyProtection="1">
      <alignment horizontal="center"/>
      <protection locked="0"/>
    </xf>
    <xf numFmtId="4" fontId="102" fillId="8" borderId="1" xfId="0" applyNumberFormat="1" applyFont="1" applyFill="1" applyBorder="1" applyAlignment="1" applyProtection="1">
      <alignment horizontal="center"/>
      <protection locked="0"/>
    </xf>
    <xf numFmtId="0" fontId="103" fillId="0" borderId="15" xfId="0" applyFont="1" applyFill="1" applyBorder="1" applyAlignment="1">
      <alignment horizontal="center" vertical="center" wrapText="1"/>
    </xf>
    <xf numFmtId="0" fontId="103" fillId="0" borderId="3" xfId="0" applyFont="1" applyFill="1" applyBorder="1" applyAlignment="1">
      <alignment horizontal="center" vertical="center" wrapText="1"/>
    </xf>
    <xf numFmtId="0" fontId="103" fillId="0" borderId="3" xfId="0" applyFont="1" applyFill="1" applyBorder="1" applyAlignment="1" applyProtection="1">
      <alignment horizontal="center" vertical="center"/>
      <protection locked="0"/>
    </xf>
    <xf numFmtId="0" fontId="103" fillId="0" borderId="4" xfId="0" applyFont="1" applyFill="1" applyBorder="1" applyAlignment="1" applyProtection="1">
      <alignment horizontal="center" vertical="center"/>
      <protection locked="0"/>
    </xf>
    <xf numFmtId="4" fontId="102" fillId="8" borderId="2" xfId="0" applyNumberFormat="1" applyFont="1" applyFill="1" applyBorder="1" applyAlignment="1" applyProtection="1">
      <alignment horizontal="center"/>
      <protection locked="0"/>
    </xf>
    <xf numFmtId="0" fontId="103" fillId="0" borderId="21" xfId="0" applyFont="1" applyFill="1" applyBorder="1" applyAlignment="1" applyProtection="1">
      <alignment horizontal="center" vertical="center" wrapText="1"/>
    </xf>
    <xf numFmtId="4" fontId="8" fillId="3" borderId="12" xfId="6" applyNumberFormat="1" applyFont="1" applyFill="1" applyBorder="1" applyAlignment="1" applyProtection="1">
      <alignment horizontal="center" vertical="center" wrapText="1"/>
    </xf>
    <xf numFmtId="0" fontId="103" fillId="3" borderId="8" xfId="0" applyFont="1" applyFill="1" applyBorder="1" applyAlignment="1">
      <alignment horizontal="center" vertical="center" wrapText="1"/>
    </xf>
    <xf numFmtId="0" fontId="103" fillId="0" borderId="6" xfId="0" applyFont="1" applyBorder="1" applyAlignment="1">
      <alignment horizontal="center" vertical="center" wrapText="1"/>
    </xf>
    <xf numFmtId="0" fontId="103" fillId="0" borderId="7" xfId="0" applyFont="1" applyBorder="1" applyAlignment="1">
      <alignment horizontal="center" vertical="center" wrapText="1"/>
    </xf>
    <xf numFmtId="0" fontId="103" fillId="0" borderId="30" xfId="0" applyFont="1" applyBorder="1" applyAlignment="1">
      <alignment horizontal="center"/>
    </xf>
    <xf numFmtId="0" fontId="103" fillId="0" borderId="55" xfId="0" applyFont="1" applyBorder="1" applyAlignment="1">
      <alignment horizontal="center"/>
    </xf>
    <xf numFmtId="0" fontId="103" fillId="0" borderId="15" xfId="0" applyFont="1" applyBorder="1"/>
    <xf numFmtId="0" fontId="103" fillId="4" borderId="4" xfId="0" applyFont="1" applyFill="1" applyBorder="1" applyAlignment="1">
      <alignment horizontal="center"/>
    </xf>
    <xf numFmtId="4" fontId="103" fillId="6" borderId="15" xfId="0" applyNumberFormat="1" applyFont="1" applyFill="1" applyBorder="1" applyAlignment="1">
      <alignment horizontal="right"/>
    </xf>
    <xf numFmtId="4" fontId="103" fillId="6" borderId="3" xfId="0" applyNumberFormat="1" applyFont="1" applyFill="1" applyBorder="1" applyAlignment="1">
      <alignment horizontal="right"/>
    </xf>
    <xf numFmtId="4" fontId="103" fillId="6" borderId="28" xfId="0" applyNumberFormat="1" applyFont="1" applyFill="1" applyBorder="1" applyAlignment="1">
      <alignment horizontal="right"/>
    </xf>
    <xf numFmtId="4" fontId="103" fillId="6" borderId="15" xfId="0" applyNumberFormat="1" applyFont="1" applyFill="1" applyBorder="1" applyAlignment="1">
      <alignment horizontal="center"/>
    </xf>
    <xf numFmtId="4" fontId="103" fillId="6" borderId="3" xfId="0" applyNumberFormat="1" applyFont="1" applyFill="1" applyBorder="1" applyAlignment="1">
      <alignment horizontal="center"/>
    </xf>
    <xf numFmtId="4" fontId="103" fillId="6" borderId="28" xfId="0" applyNumberFormat="1" applyFont="1" applyFill="1" applyBorder="1" applyAlignment="1">
      <alignment horizontal="center"/>
    </xf>
    <xf numFmtId="4" fontId="103" fillId="6" borderId="26" xfId="0" applyNumberFormat="1" applyFont="1" applyFill="1" applyBorder="1" applyAlignment="1" applyProtection="1">
      <alignment horizontal="right"/>
    </xf>
    <xf numFmtId="4" fontId="103" fillId="6" borderId="11" xfId="0" applyNumberFormat="1" applyFont="1" applyFill="1" applyBorder="1" applyAlignment="1" applyProtection="1">
      <alignment horizontal="right"/>
    </xf>
    <xf numFmtId="4" fontId="103" fillId="6" borderId="32" xfId="0" applyNumberFormat="1" applyFont="1" applyFill="1" applyBorder="1" applyAlignment="1" applyProtection="1">
      <alignment horizontal="right"/>
    </xf>
    <xf numFmtId="0" fontId="103" fillId="0" borderId="2" xfId="0" applyFont="1" applyBorder="1"/>
    <xf numFmtId="0" fontId="102" fillId="0" borderId="5" xfId="0" applyFont="1" applyFill="1" applyBorder="1" applyAlignment="1">
      <alignment horizontal="center"/>
    </xf>
    <xf numFmtId="4" fontId="103" fillId="6" borderId="2" xfId="0" applyNumberFormat="1" applyFont="1" applyFill="1" applyBorder="1" applyAlignment="1">
      <alignment horizontal="right"/>
    </xf>
    <xf numFmtId="4" fontId="103" fillId="0" borderId="1" xfId="0" applyNumberFormat="1" applyFont="1" applyFill="1" applyBorder="1" applyAlignment="1" applyProtection="1">
      <alignment horizontal="right"/>
      <protection locked="0"/>
    </xf>
    <xf numFmtId="4" fontId="103" fillId="0" borderId="9" xfId="0" applyNumberFormat="1" applyFont="1" applyFill="1" applyBorder="1" applyAlignment="1" applyProtection="1">
      <alignment horizontal="right"/>
      <protection locked="0"/>
    </xf>
    <xf numFmtId="4" fontId="103" fillId="6" borderId="25" xfId="0" applyNumberFormat="1" applyFont="1" applyFill="1" applyBorder="1" applyAlignment="1" applyProtection="1">
      <alignment horizontal="right"/>
    </xf>
    <xf numFmtId="4" fontId="103" fillId="8" borderId="1" xfId="0" applyNumberFormat="1" applyFont="1" applyFill="1" applyBorder="1" applyAlignment="1" applyProtection="1">
      <alignment horizontal="right"/>
    </xf>
    <xf numFmtId="4" fontId="103" fillId="28" borderId="1" xfId="0" applyNumberFormat="1" applyFont="1" applyFill="1" applyBorder="1" applyAlignment="1" applyProtection="1">
      <alignment horizontal="right"/>
    </xf>
    <xf numFmtId="4" fontId="103" fillId="17" borderId="1" xfId="0" applyNumberFormat="1" applyFont="1" applyFill="1" applyBorder="1" applyAlignment="1" applyProtection="1">
      <alignment horizontal="right"/>
    </xf>
    <xf numFmtId="4" fontId="103" fillId="17" borderId="9" xfId="0" applyNumberFormat="1" applyFont="1" applyFill="1" applyBorder="1" applyAlignment="1" applyProtection="1">
      <alignment horizontal="right"/>
    </xf>
    <xf numFmtId="0" fontId="103" fillId="0" borderId="5" xfId="0" applyFont="1" applyFill="1" applyBorder="1" applyAlignment="1">
      <alignment horizontal="center"/>
    </xf>
    <xf numFmtId="4" fontId="103" fillId="6" borderId="1" xfId="0" applyNumberFormat="1" applyFont="1" applyFill="1" applyBorder="1" applyAlignment="1">
      <alignment horizontal="right"/>
    </xf>
    <xf numFmtId="4" fontId="103" fillId="6" borderId="9" xfId="0" applyNumberFormat="1" applyFont="1" applyFill="1" applyBorder="1" applyAlignment="1">
      <alignment horizontal="right"/>
    </xf>
    <xf numFmtId="4" fontId="103" fillId="6" borderId="2" xfId="0" applyNumberFormat="1" applyFont="1" applyFill="1" applyBorder="1" applyAlignment="1">
      <alignment horizontal="center"/>
    </xf>
    <xf numFmtId="4" fontId="103" fillId="6" borderId="1" xfId="0" applyNumberFormat="1" applyFont="1" applyFill="1" applyBorder="1" applyAlignment="1">
      <alignment horizontal="center"/>
    </xf>
    <xf numFmtId="4" fontId="103" fillId="6" borderId="9" xfId="0" applyNumberFormat="1" applyFont="1" applyFill="1" applyBorder="1" applyAlignment="1">
      <alignment horizontal="center"/>
    </xf>
    <xf numFmtId="4" fontId="103" fillId="23" borderId="25" xfId="0" applyNumberFormat="1" applyFont="1" applyFill="1" applyBorder="1" applyAlignment="1" applyProtection="1">
      <alignment horizontal="right"/>
    </xf>
    <xf numFmtId="4" fontId="103" fillId="29" borderId="1" xfId="0" applyNumberFormat="1" applyFont="1" applyFill="1" applyBorder="1" applyAlignment="1" applyProtection="1">
      <alignment horizontal="right"/>
    </xf>
    <xf numFmtId="0" fontId="103" fillId="0" borderId="8" xfId="0" applyFont="1" applyBorder="1"/>
    <xf numFmtId="0" fontId="103" fillId="0" borderId="7" xfId="0" applyFont="1" applyFill="1" applyBorder="1" applyAlignment="1">
      <alignment horizontal="center"/>
    </xf>
    <xf numFmtId="4" fontId="103" fillId="6" borderId="8" xfId="0" applyNumberFormat="1" applyFont="1" applyFill="1" applyBorder="1" applyAlignment="1">
      <alignment horizontal="right"/>
    </xf>
    <xf numFmtId="4" fontId="103" fillId="0" borderId="6" xfId="0" applyNumberFormat="1" applyFont="1" applyFill="1" applyBorder="1" applyAlignment="1" applyProtection="1">
      <alignment horizontal="right"/>
      <protection locked="0"/>
    </xf>
    <xf numFmtId="4" fontId="103" fillId="0" borderId="24" xfId="0" applyNumberFormat="1" applyFont="1" applyFill="1" applyBorder="1" applyAlignment="1" applyProtection="1">
      <alignment horizontal="right"/>
      <protection locked="0"/>
    </xf>
    <xf numFmtId="4" fontId="103" fillId="23" borderId="56" xfId="0" applyNumberFormat="1" applyFont="1" applyFill="1" applyBorder="1" applyAlignment="1" applyProtection="1">
      <alignment horizontal="right"/>
    </xf>
    <xf numFmtId="4" fontId="103" fillId="29" borderId="6" xfId="0" applyNumberFormat="1" applyFont="1" applyFill="1" applyBorder="1" applyAlignment="1" applyProtection="1">
      <alignment horizontal="right"/>
    </xf>
    <xf numFmtId="4" fontId="103" fillId="17" borderId="6" xfId="0" applyNumberFormat="1" applyFont="1" applyFill="1" applyBorder="1" applyAlignment="1" applyProtection="1">
      <alignment horizontal="right"/>
    </xf>
    <xf numFmtId="4" fontId="103" fillId="17" borderId="24" xfId="0" applyNumberFormat="1" applyFont="1" applyFill="1" applyBorder="1" applyAlignment="1" applyProtection="1">
      <alignment horizontal="right"/>
    </xf>
    <xf numFmtId="0" fontId="103" fillId="3" borderId="57" xfId="0" applyFont="1" applyFill="1" applyBorder="1"/>
    <xf numFmtId="0" fontId="102" fillId="3" borderId="0" xfId="0" applyFont="1" applyFill="1" applyBorder="1" applyAlignment="1">
      <alignment horizontal="left" wrapText="1" indent="4"/>
    </xf>
    <xf numFmtId="0" fontId="103" fillId="3" borderId="58" xfId="0" applyFont="1" applyFill="1" applyBorder="1" applyAlignment="1">
      <alignment horizontal="center"/>
    </xf>
    <xf numFmtId="4" fontId="103" fillId="3" borderId="57" xfId="0" applyNumberFormat="1" applyFont="1" applyFill="1" applyBorder="1" applyAlignment="1">
      <alignment horizontal="right"/>
    </xf>
    <xf numFmtId="4" fontId="103" fillId="3" borderId="0" xfId="0" applyNumberFormat="1" applyFont="1" applyFill="1" applyBorder="1" applyAlignment="1" applyProtection="1">
      <alignment horizontal="right"/>
      <protection locked="0"/>
    </xf>
    <xf numFmtId="4" fontId="103" fillId="3" borderId="58" xfId="0" applyNumberFormat="1" applyFont="1" applyFill="1" applyBorder="1" applyAlignment="1" applyProtection="1">
      <alignment horizontal="right"/>
      <protection locked="0"/>
    </xf>
    <xf numFmtId="4" fontId="103" fillId="3" borderId="39" xfId="0" applyNumberFormat="1" applyFont="1" applyFill="1" applyBorder="1" applyAlignment="1">
      <alignment horizontal="center" vertical="center" wrapText="1"/>
    </xf>
    <xf numFmtId="4" fontId="103" fillId="3" borderId="40" xfId="0" applyNumberFormat="1" applyFont="1" applyFill="1" applyBorder="1" applyAlignment="1">
      <alignment horizontal="center" vertical="center" wrapText="1"/>
    </xf>
    <xf numFmtId="4" fontId="103" fillId="3" borderId="21" xfId="0" applyNumberFormat="1" applyFont="1" applyFill="1" applyBorder="1" applyAlignment="1">
      <alignment horizontal="center" vertical="center" wrapText="1"/>
    </xf>
    <xf numFmtId="4" fontId="103" fillId="3" borderId="11" xfId="0" applyNumberFormat="1" applyFont="1" applyFill="1" applyBorder="1" applyAlignment="1">
      <alignment horizontal="center" vertical="center" wrapText="1"/>
    </xf>
    <xf numFmtId="4" fontId="103" fillId="3" borderId="12" xfId="0" applyNumberFormat="1" applyFont="1" applyFill="1" applyBorder="1" applyAlignment="1">
      <alignment horizontal="center" vertical="center" wrapText="1"/>
    </xf>
    <xf numFmtId="4" fontId="103" fillId="3" borderId="0" xfId="0" applyNumberFormat="1" applyFont="1" applyFill="1" applyBorder="1" applyAlignment="1" applyProtection="1">
      <alignment horizontal="right"/>
    </xf>
    <xf numFmtId="0" fontId="103" fillId="0" borderId="16" xfId="0" applyFont="1" applyBorder="1" applyAlignment="1">
      <alignment vertical="center"/>
    </xf>
    <xf numFmtId="0" fontId="103" fillId="0" borderId="18" xfId="0" applyFont="1" applyFill="1" applyBorder="1" applyAlignment="1">
      <alignment horizontal="center"/>
    </xf>
    <xf numFmtId="4" fontId="103" fillId="6" borderId="16" xfId="0" applyNumberFormat="1" applyFont="1" applyFill="1" applyBorder="1" applyAlignment="1">
      <alignment horizontal="right"/>
    </xf>
    <xf numFmtId="4" fontId="103" fillId="3" borderId="17" xfId="0" applyNumberFormat="1" applyFont="1" applyFill="1" applyBorder="1" applyAlignment="1" applyProtection="1">
      <alignment horizontal="right"/>
      <protection locked="0"/>
    </xf>
    <xf numFmtId="4" fontId="18" fillId="2" borderId="17" xfId="0" applyNumberFormat="1" applyFont="1" applyFill="1" applyBorder="1" applyAlignment="1" applyProtection="1">
      <alignment horizontal="right"/>
      <protection locked="0"/>
    </xf>
    <xf numFmtId="4" fontId="103" fillId="6" borderId="38" xfId="0" applyNumberFormat="1" applyFont="1" applyFill="1" applyBorder="1" applyAlignment="1">
      <alignment horizontal="right"/>
    </xf>
    <xf numFmtId="4" fontId="18" fillId="0" borderId="8" xfId="0" applyNumberFormat="1" applyFont="1" applyFill="1" applyBorder="1" applyAlignment="1" applyProtection="1">
      <alignment horizontal="right"/>
      <protection locked="0"/>
    </xf>
    <xf numFmtId="4" fontId="18" fillId="0" borderId="6" xfId="0" applyNumberFormat="1" applyFont="1" applyFill="1" applyBorder="1" applyAlignment="1" applyProtection="1">
      <alignment horizontal="right"/>
      <protection locked="0"/>
    </xf>
    <xf numFmtId="4" fontId="103" fillId="0" borderId="7" xfId="0" applyNumberFormat="1" applyFont="1" applyFill="1" applyBorder="1" applyAlignment="1" applyProtection="1">
      <alignment horizontal="right"/>
      <protection locked="0"/>
    </xf>
    <xf numFmtId="4" fontId="103" fillId="6" borderId="55" xfId="0" applyNumberFormat="1" applyFont="1" applyFill="1" applyBorder="1" applyAlignment="1" applyProtection="1">
      <alignment horizontal="right"/>
    </xf>
    <xf numFmtId="4" fontId="103" fillId="0" borderId="17" xfId="0" applyNumberFormat="1" applyFont="1" applyFill="1" applyBorder="1" applyAlignment="1" applyProtection="1">
      <alignment horizontal="right"/>
    </xf>
    <xf numFmtId="4" fontId="103" fillId="29" borderId="17" xfId="0" applyNumberFormat="1" applyFont="1" applyFill="1" applyBorder="1" applyAlignment="1" applyProtection="1">
      <alignment horizontal="right"/>
    </xf>
    <xf numFmtId="4" fontId="103" fillId="17" borderId="17" xfId="0" applyNumberFormat="1" applyFont="1" applyFill="1" applyBorder="1" applyAlignment="1" applyProtection="1">
      <alignment horizontal="right"/>
    </xf>
    <xf numFmtId="4" fontId="103" fillId="17" borderId="38" xfId="0" applyNumberFormat="1" applyFont="1" applyFill="1" applyBorder="1" applyAlignment="1" applyProtection="1">
      <alignment horizontal="right"/>
    </xf>
    <xf numFmtId="0" fontId="103" fillId="3" borderId="0" xfId="0" applyFont="1" applyFill="1" applyBorder="1" applyAlignment="1">
      <alignment horizontal="left" wrapText="1"/>
    </xf>
    <xf numFmtId="4" fontId="103" fillId="3" borderId="0" xfId="0" applyNumberFormat="1" applyFont="1" applyFill="1" applyBorder="1" applyAlignment="1" applyProtection="1">
      <alignment horizontal="center"/>
    </xf>
    <xf numFmtId="4" fontId="103" fillId="3" borderId="0" xfId="0" applyNumberFormat="1" applyFont="1" applyFill="1" applyBorder="1" applyAlignment="1">
      <alignment horizontal="right"/>
    </xf>
    <xf numFmtId="4" fontId="103" fillId="6" borderId="4" xfId="0" applyNumberFormat="1" applyFont="1" applyFill="1" applyBorder="1" applyAlignment="1">
      <alignment horizontal="right"/>
    </xf>
    <xf numFmtId="4" fontId="103" fillId="6" borderId="52" xfId="0" applyNumberFormat="1" applyFont="1" applyFill="1" applyBorder="1" applyAlignment="1" applyProtection="1">
      <alignment horizontal="right"/>
    </xf>
    <xf numFmtId="4" fontId="103" fillId="17" borderId="3" xfId="0" applyNumberFormat="1" applyFont="1" applyFill="1" applyBorder="1" applyAlignment="1" applyProtection="1">
      <alignment horizontal="right"/>
    </xf>
    <xf numFmtId="4" fontId="103" fillId="17" borderId="28" xfId="0" applyNumberFormat="1" applyFont="1" applyFill="1" applyBorder="1" applyAlignment="1" applyProtection="1">
      <alignment horizontal="right"/>
    </xf>
    <xf numFmtId="4" fontId="103" fillId="3" borderId="1" xfId="0" applyNumberFormat="1" applyFont="1" applyFill="1" applyBorder="1" applyAlignment="1" applyProtection="1">
      <alignment horizontal="right"/>
      <protection locked="0"/>
    </xf>
    <xf numFmtId="4" fontId="18" fillId="2" borderId="1" xfId="0" applyNumberFormat="1" applyFont="1" applyFill="1" applyBorder="1" applyAlignment="1" applyProtection="1">
      <alignment horizontal="right"/>
      <protection locked="0"/>
    </xf>
    <xf numFmtId="4" fontId="103" fillId="6" borderId="5" xfId="0" applyNumberFormat="1" applyFont="1" applyFill="1" applyBorder="1" applyAlignment="1">
      <alignment horizontal="right"/>
    </xf>
    <xf numFmtId="4" fontId="103" fillId="0" borderId="5" xfId="0" applyNumberFormat="1" applyFont="1" applyFill="1" applyBorder="1" applyAlignment="1" applyProtection="1">
      <alignment horizontal="right"/>
      <protection locked="0"/>
    </xf>
    <xf numFmtId="0" fontId="102" fillId="0" borderId="7" xfId="0" applyFont="1" applyFill="1" applyBorder="1" applyAlignment="1">
      <alignment horizontal="center"/>
    </xf>
    <xf numFmtId="4" fontId="103" fillId="3" borderId="6" xfId="0" applyNumberFormat="1" applyFont="1" applyFill="1" applyBorder="1" applyAlignment="1" applyProtection="1">
      <alignment horizontal="right"/>
      <protection locked="0"/>
    </xf>
    <xf numFmtId="0" fontId="102" fillId="3" borderId="58" xfId="0" applyFont="1" applyFill="1" applyBorder="1" applyAlignment="1">
      <alignment horizontal="center"/>
    </xf>
    <xf numFmtId="4" fontId="103" fillId="3" borderId="58" xfId="0" applyNumberFormat="1" applyFont="1" applyFill="1" applyBorder="1" applyAlignment="1" applyProtection="1">
      <alignment horizontal="right"/>
    </xf>
    <xf numFmtId="4" fontId="103" fillId="0" borderId="3" xfId="0" applyNumberFormat="1" applyFont="1" applyFill="1" applyBorder="1" applyAlignment="1" applyProtection="1">
      <alignment horizontal="right"/>
      <protection locked="0"/>
    </xf>
    <xf numFmtId="4" fontId="103" fillId="6" borderId="52" xfId="0" applyNumberFormat="1" applyFont="1" applyFill="1" applyBorder="1" applyAlignment="1">
      <alignment horizontal="right"/>
    </xf>
    <xf numFmtId="4" fontId="18" fillId="0" borderId="3" xfId="0" applyNumberFormat="1" applyFont="1" applyFill="1" applyBorder="1" applyAlignment="1" applyProtection="1">
      <alignment horizontal="right"/>
      <protection locked="0"/>
    </xf>
    <xf numFmtId="4" fontId="103" fillId="6" borderId="3" xfId="0" applyNumberFormat="1" applyFont="1" applyFill="1" applyBorder="1" applyAlignment="1" applyProtection="1">
      <alignment horizontal="center"/>
    </xf>
    <xf numFmtId="4" fontId="18" fillId="0" borderId="28" xfId="0" applyNumberFormat="1" applyFont="1" applyFill="1" applyBorder="1" applyAlignment="1" applyProtection="1">
      <alignment horizontal="right"/>
      <protection locked="0"/>
    </xf>
    <xf numFmtId="4" fontId="103" fillId="29" borderId="17" xfId="0" applyNumberFormat="1" applyFont="1" applyFill="1" applyBorder="1" applyAlignment="1" applyProtection="1">
      <alignment horizontal="center"/>
    </xf>
    <xf numFmtId="4" fontId="97" fillId="29" borderId="17" xfId="0" applyNumberFormat="1" applyFont="1" applyFill="1" applyBorder="1" applyAlignment="1" applyProtection="1">
      <alignment horizontal="right"/>
    </xf>
    <xf numFmtId="4" fontId="103" fillId="17" borderId="18" xfId="0" applyNumberFormat="1" applyFont="1" applyFill="1" applyBorder="1" applyAlignment="1" applyProtection="1">
      <alignment horizontal="right"/>
    </xf>
    <xf numFmtId="4" fontId="103" fillId="0" borderId="2" xfId="0" applyNumberFormat="1" applyFont="1" applyFill="1" applyBorder="1" applyAlignment="1" applyProtection="1">
      <alignment horizontal="center" vertical="center"/>
    </xf>
    <xf numFmtId="4" fontId="103" fillId="0" borderId="1" xfId="0" applyNumberFormat="1" applyFont="1" applyFill="1" applyBorder="1" applyAlignment="1" applyProtection="1">
      <alignment horizontal="center" vertical="center" wrapText="1"/>
    </xf>
    <xf numFmtId="4" fontId="103" fillId="0" borderId="1" xfId="0" applyNumberFormat="1" applyFont="1" applyFill="1" applyBorder="1" applyAlignment="1" applyProtection="1">
      <alignment horizontal="center" vertical="center"/>
    </xf>
    <xf numFmtId="4" fontId="103" fillId="0" borderId="5" xfId="0" applyNumberFormat="1" applyFont="1" applyFill="1" applyBorder="1" applyAlignment="1" applyProtection="1">
      <alignment horizontal="center" vertical="center" wrapText="1"/>
    </xf>
    <xf numFmtId="4" fontId="97" fillId="11" borderId="18" xfId="0" applyNumberFormat="1" applyFont="1" applyFill="1" applyBorder="1" applyAlignment="1" applyProtection="1">
      <alignment vertical="center"/>
    </xf>
    <xf numFmtId="4" fontId="103" fillId="6" borderId="2" xfId="0" applyNumberFormat="1" applyFont="1" applyFill="1" applyBorder="1" applyAlignment="1" applyProtection="1">
      <alignment horizontal="center"/>
    </xf>
    <xf numFmtId="4" fontId="103" fillId="6" borderId="1" xfId="0" applyNumberFormat="1" applyFont="1" applyFill="1" applyBorder="1" applyAlignment="1" applyProtection="1">
      <alignment horizontal="center"/>
    </xf>
    <xf numFmtId="4" fontId="103" fillId="0" borderId="1" xfId="0" applyNumberFormat="1" applyFont="1" applyFill="1" applyBorder="1" applyAlignment="1" applyProtection="1">
      <alignment horizontal="center"/>
      <protection locked="0"/>
    </xf>
    <xf numFmtId="4" fontId="103" fillId="0" borderId="5" xfId="0" applyNumberFormat="1" applyFont="1" applyFill="1" applyBorder="1" applyAlignment="1" applyProtection="1">
      <alignment horizontal="center"/>
      <protection locked="0"/>
    </xf>
    <xf numFmtId="4" fontId="97" fillId="3" borderId="0" xfId="0" applyNumberFormat="1" applyFont="1" applyFill="1" applyBorder="1" applyAlignment="1" applyProtection="1">
      <alignment vertical="center"/>
    </xf>
    <xf numFmtId="4" fontId="103" fillId="3" borderId="2" xfId="0" applyNumberFormat="1" applyFont="1" applyFill="1" applyBorder="1" applyAlignment="1" applyProtection="1">
      <alignment horizontal="center" vertical="center"/>
    </xf>
    <xf numFmtId="4" fontId="103" fillId="3" borderId="25" xfId="0" applyNumberFormat="1" applyFont="1" applyFill="1" applyBorder="1" applyAlignment="1" applyProtection="1">
      <alignment horizontal="center" vertical="center"/>
    </xf>
    <xf numFmtId="4" fontId="103" fillId="6" borderId="1" xfId="0" applyNumberFormat="1" applyFont="1" applyFill="1" applyBorder="1" applyAlignment="1" applyProtection="1">
      <alignment horizontal="center" vertical="center"/>
    </xf>
    <xf numFmtId="4" fontId="103" fillId="3" borderId="1" xfId="0" applyNumberFormat="1" applyFont="1" applyFill="1" applyBorder="1" applyAlignment="1" applyProtection="1">
      <alignment horizontal="center" vertical="center"/>
    </xf>
    <xf numFmtId="182" fontId="102" fillId="3" borderId="1" xfId="0" applyNumberFormat="1" applyFont="1" applyFill="1" applyBorder="1" applyAlignment="1" applyProtection="1">
      <alignment horizontal="center" vertical="center" wrapText="1"/>
    </xf>
    <xf numFmtId="4" fontId="103" fillId="3" borderId="9" xfId="0" applyNumberFormat="1" applyFont="1" applyFill="1" applyBorder="1" applyAlignment="1" applyProtection="1">
      <alignment horizontal="center" vertical="center"/>
    </xf>
    <xf numFmtId="4" fontId="103" fillId="3" borderId="1" xfId="0" applyNumberFormat="1" applyFont="1" applyFill="1" applyBorder="1" applyAlignment="1" applyProtection="1">
      <alignment horizontal="center" vertical="center" wrapText="1"/>
    </xf>
    <xf numFmtId="4" fontId="103" fillId="3" borderId="5" xfId="0" applyNumberFormat="1" applyFont="1" applyFill="1" applyBorder="1" applyAlignment="1" applyProtection="1">
      <alignment horizontal="center" vertical="center" wrapText="1"/>
    </xf>
    <xf numFmtId="182" fontId="103" fillId="3" borderId="2" xfId="0" applyNumberFormat="1" applyFont="1" applyFill="1" applyBorder="1" applyAlignment="1" applyProtection="1">
      <alignment vertical="center"/>
    </xf>
    <xf numFmtId="4" fontId="103" fillId="6" borderId="2" xfId="0" applyNumberFormat="1" applyFont="1" applyFill="1" applyBorder="1" applyAlignment="1" applyProtection="1">
      <alignment horizontal="right"/>
    </xf>
    <xf numFmtId="4" fontId="103" fillId="6" borderId="1" xfId="0" applyNumberFormat="1" applyFont="1" applyFill="1" applyBorder="1" applyAlignment="1" applyProtection="1">
      <alignment horizontal="right"/>
    </xf>
    <xf numFmtId="4" fontId="103" fillId="6" borderId="5" xfId="0" applyNumberFormat="1" applyFont="1" applyFill="1" applyBorder="1" applyAlignment="1" applyProtection="1">
      <alignment horizontal="right"/>
    </xf>
    <xf numFmtId="182" fontId="102" fillId="6" borderId="1" xfId="0" applyNumberFormat="1" applyFont="1" applyFill="1" applyBorder="1" applyAlignment="1" applyProtection="1">
      <alignment horizontal="center"/>
    </xf>
    <xf numFmtId="4" fontId="103" fillId="6" borderId="9" xfId="0" applyNumberFormat="1" applyFont="1" applyFill="1" applyBorder="1" applyAlignment="1" applyProtection="1">
      <alignment horizontal="right"/>
    </xf>
    <xf numFmtId="4" fontId="103" fillId="6" borderId="1" xfId="0" applyNumberFormat="1" applyFont="1" applyFill="1" applyBorder="1" applyAlignment="1" applyProtection="1"/>
    <xf numFmtId="182" fontId="103" fillId="6" borderId="1" xfId="0" applyNumberFormat="1" applyFont="1" applyFill="1" applyBorder="1" applyAlignment="1" applyProtection="1">
      <alignment horizontal="center"/>
    </xf>
    <xf numFmtId="4" fontId="97" fillId="6" borderId="5" xfId="0" applyNumberFormat="1" applyFont="1" applyFill="1" applyBorder="1" applyAlignment="1" applyProtection="1">
      <alignment horizontal="right"/>
    </xf>
    <xf numFmtId="182" fontId="102" fillId="6" borderId="8" xfId="0" applyNumberFormat="1" applyFont="1" applyFill="1" applyBorder="1" applyProtection="1"/>
    <xf numFmtId="182" fontId="102" fillId="6" borderId="6" xfId="0" applyNumberFormat="1" applyFont="1" applyFill="1" applyBorder="1" applyProtection="1"/>
    <xf numFmtId="182" fontId="102" fillId="6" borderId="7" xfId="0" applyNumberFormat="1" applyFont="1" applyFill="1" applyBorder="1" applyProtection="1"/>
    <xf numFmtId="182" fontId="102" fillId="6" borderId="56" xfId="0" applyNumberFormat="1" applyFont="1" applyFill="1" applyBorder="1" applyProtection="1"/>
    <xf numFmtId="182" fontId="102" fillId="6" borderId="6" xfId="0" applyNumberFormat="1" applyFont="1" applyFill="1" applyBorder="1" applyAlignment="1" applyProtection="1">
      <alignment horizontal="center"/>
    </xf>
    <xf numFmtId="182" fontId="102" fillId="6" borderId="24" xfId="0" applyNumberFormat="1" applyFont="1" applyFill="1" applyBorder="1" applyProtection="1"/>
    <xf numFmtId="0" fontId="102" fillId="0" borderId="0" xfId="0" applyFont="1" applyProtection="1"/>
    <xf numFmtId="182" fontId="102" fillId="3" borderId="0" xfId="0" applyNumberFormat="1" applyFont="1" applyFill="1" applyBorder="1" applyAlignment="1" applyProtection="1">
      <alignment horizontal="right"/>
    </xf>
    <xf numFmtId="182" fontId="103" fillId="3" borderId="0" xfId="0" applyNumberFormat="1" applyFont="1" applyFill="1" applyBorder="1" applyProtection="1"/>
    <xf numFmtId="0" fontId="103" fillId="3" borderId="0" xfId="0" applyFont="1" applyFill="1" applyBorder="1" applyProtection="1"/>
    <xf numFmtId="180" fontId="97" fillId="6" borderId="5" xfId="0" applyNumberFormat="1" applyFont="1" applyFill="1" applyBorder="1" applyAlignment="1" applyProtection="1">
      <alignment horizontal="right"/>
    </xf>
    <xf numFmtId="180" fontId="103" fillId="0" borderId="0" xfId="0" applyNumberFormat="1" applyFont="1" applyFill="1" applyBorder="1" applyAlignment="1" applyProtection="1"/>
    <xf numFmtId="182" fontId="102" fillId="3" borderId="0" xfId="0" applyNumberFormat="1" applyFont="1" applyFill="1" applyBorder="1" applyAlignment="1" applyProtection="1"/>
    <xf numFmtId="4" fontId="120" fillId="6" borderId="7" xfId="0" applyNumberFormat="1" applyFont="1" applyFill="1" applyBorder="1" applyAlignment="1" applyProtection="1">
      <alignment horizontal="right"/>
    </xf>
    <xf numFmtId="4" fontId="8" fillId="3" borderId="0" xfId="6" applyNumberFormat="1" applyFont="1" applyFill="1" applyBorder="1" applyAlignment="1" applyProtection="1">
      <alignment vertical="center" wrapText="1"/>
    </xf>
    <xf numFmtId="4" fontId="120" fillId="0" borderId="0" xfId="0" applyNumberFormat="1" applyFont="1" applyFill="1" applyBorder="1" applyAlignment="1" applyProtection="1">
      <alignment horizontal="center"/>
    </xf>
    <xf numFmtId="0" fontId="103" fillId="3" borderId="13" xfId="0" applyFont="1" applyFill="1" applyBorder="1" applyAlignment="1" applyProtection="1">
      <alignment horizontal="center" vertical="center" wrapText="1"/>
    </xf>
    <xf numFmtId="0" fontId="103" fillId="0" borderId="16" xfId="0" applyFont="1" applyBorder="1" applyAlignment="1" applyProtection="1">
      <alignment horizontal="center"/>
    </xf>
    <xf numFmtId="0" fontId="103" fillId="0" borderId="17" xfId="0" applyFont="1" applyBorder="1" applyAlignment="1" applyProtection="1">
      <alignment horizontal="center"/>
    </xf>
    <xf numFmtId="0" fontId="103" fillId="0" borderId="15" xfId="0" applyFont="1" applyBorder="1" applyProtection="1"/>
    <xf numFmtId="0" fontId="103" fillId="4" borderId="3" xfId="0" applyFont="1" applyFill="1" applyBorder="1" applyAlignment="1" applyProtection="1">
      <alignment horizontal="center"/>
    </xf>
    <xf numFmtId="4" fontId="103" fillId="6" borderId="3" xfId="0" applyNumberFormat="1" applyFont="1" applyFill="1" applyBorder="1" applyAlignment="1" applyProtection="1">
      <alignment horizontal="center" vertical="center"/>
    </xf>
    <xf numFmtId="0" fontId="103" fillId="0" borderId="2" xfId="0" applyFont="1" applyBorder="1" applyProtection="1"/>
    <xf numFmtId="0" fontId="102" fillId="0" borderId="1" xfId="0" applyFont="1" applyFill="1" applyBorder="1" applyAlignment="1" applyProtection="1">
      <alignment horizontal="center"/>
    </xf>
    <xf numFmtId="4" fontId="8" fillId="6" borderId="1" xfId="0" applyNumberFormat="1" applyFont="1" applyFill="1" applyBorder="1" applyAlignment="1" applyProtection="1">
      <alignment horizontal="center" vertical="center"/>
    </xf>
    <xf numFmtId="182" fontId="102" fillId="3" borderId="1" xfId="0" applyNumberFormat="1" applyFont="1" applyFill="1" applyBorder="1" applyAlignment="1" applyProtection="1">
      <alignment horizontal="center" vertical="center"/>
    </xf>
    <xf numFmtId="4" fontId="102" fillId="3" borderId="1" xfId="0" applyNumberFormat="1" applyFont="1" applyFill="1" applyBorder="1" applyAlignment="1" applyProtection="1">
      <alignment horizontal="center" vertical="center"/>
    </xf>
    <xf numFmtId="4" fontId="103" fillId="3" borderId="1" xfId="0" applyNumberFormat="1" applyFont="1" applyFill="1" applyBorder="1" applyAlignment="1" applyProtection="1">
      <alignment horizontal="center" vertical="center"/>
      <protection locked="0"/>
    </xf>
    <xf numFmtId="0" fontId="103" fillId="0" borderId="1" xfId="0" applyFont="1" applyFill="1" applyBorder="1" applyAlignment="1" applyProtection="1">
      <alignment horizontal="center"/>
    </xf>
    <xf numFmtId="180" fontId="8" fillId="3" borderId="1" xfId="0" applyNumberFormat="1" applyFont="1" applyFill="1" applyBorder="1" applyAlignment="1" applyProtection="1">
      <alignment horizontal="center" vertical="center"/>
      <protection locked="0"/>
    </xf>
    <xf numFmtId="0" fontId="103" fillId="0" borderId="1" xfId="0" applyFont="1" applyBorder="1" applyProtection="1"/>
    <xf numFmtId="182" fontId="103" fillId="6" borderId="1" xfId="0" applyNumberFormat="1" applyFont="1" applyFill="1" applyBorder="1" applyAlignment="1" applyProtection="1">
      <alignment horizontal="center" vertical="center"/>
    </xf>
    <xf numFmtId="182" fontId="8" fillId="3" borderId="1" xfId="0" applyNumberFormat="1" applyFont="1" applyFill="1" applyBorder="1" applyAlignment="1" applyProtection="1">
      <alignment horizontal="center" vertical="center"/>
    </xf>
    <xf numFmtId="4" fontId="8" fillId="3" borderId="1" xfId="0" applyNumberFormat="1" applyFont="1" applyFill="1" applyBorder="1" applyAlignment="1" applyProtection="1">
      <alignment horizontal="center" vertical="center"/>
    </xf>
    <xf numFmtId="0" fontId="103" fillId="0" borderId="8" xfId="0" applyFont="1" applyBorder="1" applyProtection="1"/>
    <xf numFmtId="0" fontId="103" fillId="0" borderId="6" xfId="0" applyFont="1" applyBorder="1" applyProtection="1"/>
    <xf numFmtId="182" fontId="102" fillId="3" borderId="6" xfId="0" applyNumberFormat="1" applyFont="1" applyFill="1" applyBorder="1" applyAlignment="1" applyProtection="1">
      <alignment horizontal="center" vertical="center"/>
    </xf>
    <xf numFmtId="180" fontId="8" fillId="3" borderId="6" xfId="0" applyNumberFormat="1" applyFont="1" applyFill="1" applyBorder="1" applyAlignment="1" applyProtection="1">
      <alignment horizontal="center" vertical="center"/>
      <protection locked="0"/>
    </xf>
    <xf numFmtId="4" fontId="8" fillId="6" borderId="6" xfId="0" applyNumberFormat="1" applyFont="1" applyFill="1" applyBorder="1" applyAlignment="1" applyProtection="1">
      <alignment horizontal="center" vertical="center"/>
    </xf>
    <xf numFmtId="4" fontId="103" fillId="3" borderId="6" xfId="0" applyNumberFormat="1" applyFont="1" applyFill="1" applyBorder="1" applyAlignment="1" applyProtection="1">
      <alignment horizontal="center" vertical="center"/>
    </xf>
    <xf numFmtId="4" fontId="103" fillId="6" borderId="6" xfId="0" applyNumberFormat="1" applyFont="1" applyFill="1" applyBorder="1" applyAlignment="1" applyProtection="1">
      <alignment horizontal="center" vertical="center"/>
    </xf>
    <xf numFmtId="180" fontId="103" fillId="6" borderId="1" xfId="0" applyNumberFormat="1" applyFont="1" applyFill="1" applyBorder="1" applyAlignment="1" applyProtection="1">
      <alignment horizontal="center" vertical="center"/>
    </xf>
    <xf numFmtId="0" fontId="102" fillId="0" borderId="6" xfId="0" applyFont="1" applyFill="1" applyBorder="1" applyAlignment="1" applyProtection="1">
      <alignment horizontal="center"/>
    </xf>
    <xf numFmtId="0" fontId="103" fillId="0" borderId="36" xfId="0" applyFont="1" applyBorder="1" applyProtection="1"/>
    <xf numFmtId="0" fontId="102" fillId="0" borderId="20" xfId="0" applyFont="1" applyFill="1" applyBorder="1" applyAlignment="1" applyProtection="1">
      <alignment horizontal="center"/>
    </xf>
    <xf numFmtId="182" fontId="103" fillId="3" borderId="20" xfId="0" applyNumberFormat="1" applyFont="1" applyFill="1" applyBorder="1" applyAlignment="1" applyProtection="1">
      <protection locked="0"/>
    </xf>
    <xf numFmtId="182" fontId="103" fillId="6" borderId="20" xfId="0" applyNumberFormat="1" applyFont="1" applyFill="1" applyBorder="1" applyAlignment="1" applyProtection="1">
      <alignment horizontal="center"/>
    </xf>
    <xf numFmtId="0" fontId="103" fillId="0" borderId="36" xfId="0" applyFont="1" applyBorder="1" applyAlignment="1">
      <alignment horizontal="center" vertical="center"/>
    </xf>
    <xf numFmtId="0" fontId="103" fillId="0" borderId="8" xfId="0" applyFont="1" applyBorder="1" applyAlignment="1">
      <alignment horizontal="center" vertical="center"/>
    </xf>
    <xf numFmtId="0" fontId="103" fillId="0" borderId="6" xfId="0" applyFont="1" applyBorder="1" applyAlignment="1">
      <alignment horizontal="center" vertical="center"/>
    </xf>
    <xf numFmtId="0" fontId="103" fillId="0" borderId="24" xfId="0" applyFont="1" applyBorder="1" applyAlignment="1">
      <alignment horizontal="center" vertical="center"/>
    </xf>
    <xf numFmtId="0" fontId="103" fillId="0" borderId="14" xfId="0" applyFont="1" applyBorder="1" applyAlignment="1">
      <alignment horizontal="center" vertical="center"/>
    </xf>
    <xf numFmtId="0" fontId="103" fillId="0" borderId="13" xfId="0" applyFont="1" applyBorder="1" applyAlignment="1">
      <alignment horizontal="center" vertical="center"/>
    </xf>
    <xf numFmtId="0" fontId="103" fillId="0" borderId="59" xfId="0" applyFont="1" applyBorder="1" applyAlignment="1">
      <alignment horizontal="center" vertical="center"/>
    </xf>
    <xf numFmtId="0" fontId="103" fillId="0" borderId="19" xfId="0" applyFont="1" applyBorder="1" applyAlignment="1">
      <alignment horizontal="center" vertical="center"/>
    </xf>
    <xf numFmtId="0" fontId="103" fillId="0" borderId="21" xfId="0" applyFont="1" applyBorder="1" applyAlignment="1">
      <alignment horizontal="center" vertical="center"/>
    </xf>
    <xf numFmtId="0" fontId="103" fillId="0" borderId="21" xfId="0" applyFont="1" applyFill="1" applyBorder="1" applyAlignment="1">
      <alignment horizontal="center" vertical="center"/>
    </xf>
    <xf numFmtId="4" fontId="8" fillId="3" borderId="11" xfId="0" applyNumberFormat="1" applyFont="1" applyFill="1" applyBorder="1" applyAlignment="1" applyProtection="1">
      <alignment horizontal="center" vertical="center" wrapText="1"/>
      <protection locked="0"/>
    </xf>
    <xf numFmtId="4" fontId="103" fillId="6" borderId="32" xfId="0" applyNumberFormat="1" applyFont="1" applyFill="1" applyBorder="1" applyAlignment="1" applyProtection="1">
      <alignment horizontal="center" vertical="center" wrapText="1"/>
    </xf>
    <xf numFmtId="4" fontId="103" fillId="6" borderId="15" xfId="0" applyNumberFormat="1" applyFont="1" applyFill="1" applyBorder="1" applyAlignment="1" applyProtection="1">
      <alignment horizontal="center" vertical="center" wrapText="1"/>
    </xf>
    <xf numFmtId="4" fontId="103" fillId="6" borderId="3" xfId="0" applyNumberFormat="1" applyFont="1" applyFill="1" applyBorder="1" applyAlignment="1" applyProtection="1">
      <alignment horizontal="center" vertical="center" wrapText="1"/>
    </xf>
    <xf numFmtId="4" fontId="8" fillId="3" borderId="28" xfId="6" applyNumberFormat="1" applyFont="1" applyFill="1" applyBorder="1" applyAlignment="1" applyProtection="1">
      <alignment horizontal="center" vertical="center" wrapText="1"/>
    </xf>
    <xf numFmtId="4" fontId="103" fillId="3" borderId="32" xfId="0" applyNumberFormat="1" applyFont="1" applyFill="1" applyBorder="1" applyAlignment="1" applyProtection="1">
      <alignment horizontal="center" vertical="center" wrapText="1"/>
      <protection locked="0"/>
    </xf>
    <xf numFmtId="4" fontId="103" fillId="8" borderId="13" xfId="0" applyNumberFormat="1" applyFont="1" applyFill="1" applyBorder="1" applyAlignment="1" applyProtection="1">
      <alignment horizontal="center" vertical="center" wrapText="1"/>
      <protection locked="0"/>
    </xf>
    <xf numFmtId="4" fontId="103" fillId="6" borderId="14" xfId="0" applyNumberFormat="1" applyFont="1" applyFill="1" applyBorder="1" applyAlignment="1" applyProtection="1">
      <alignment vertical="center" wrapText="1"/>
    </xf>
    <xf numFmtId="4" fontId="103" fillId="6" borderId="13" xfId="0" applyNumberFormat="1" applyFont="1" applyFill="1" applyBorder="1" applyAlignment="1" applyProtection="1">
      <alignment vertical="center" wrapText="1"/>
    </xf>
    <xf numFmtId="4" fontId="8" fillId="3" borderId="59" xfId="6" applyNumberFormat="1" applyFont="1" applyFill="1" applyBorder="1" applyAlignment="1" applyProtection="1">
      <alignment horizontal="center" vertical="center" wrapText="1"/>
    </xf>
    <xf numFmtId="4" fontId="103" fillId="6" borderId="2" xfId="0" applyNumberFormat="1" applyFont="1" applyFill="1" applyBorder="1" applyAlignment="1" applyProtection="1">
      <alignment vertical="center" wrapText="1"/>
    </xf>
    <xf numFmtId="4" fontId="103" fillId="6" borderId="1" xfId="0" applyNumberFormat="1" applyFont="1" applyFill="1" applyBorder="1" applyAlignment="1" applyProtection="1">
      <alignment vertical="center" wrapText="1"/>
    </xf>
    <xf numFmtId="0" fontId="103" fillId="0" borderId="2" xfId="0" applyFont="1" applyBorder="1" applyAlignment="1">
      <alignment horizontal="center" vertical="center"/>
    </xf>
    <xf numFmtId="0" fontId="103" fillId="3" borderId="2" xfId="0" applyFont="1" applyFill="1" applyBorder="1" applyAlignment="1">
      <alignment horizontal="center" vertical="center"/>
    </xf>
    <xf numFmtId="4" fontId="103" fillId="6" borderId="9" xfId="0" applyNumberFormat="1" applyFont="1" applyFill="1" applyBorder="1" applyAlignment="1" applyProtection="1">
      <alignment horizontal="center" vertical="center" wrapText="1"/>
    </xf>
    <xf numFmtId="0" fontId="103" fillId="3" borderId="8" xfId="0" applyFont="1" applyFill="1" applyBorder="1" applyAlignment="1">
      <alignment horizontal="center" vertical="center"/>
    </xf>
    <xf numFmtId="4" fontId="103" fillId="28" borderId="6" xfId="0" applyNumberFormat="1" applyFont="1" applyFill="1" applyBorder="1" applyAlignment="1" applyProtection="1">
      <alignment horizontal="center" vertical="center" wrapText="1"/>
      <protection locked="0"/>
    </xf>
    <xf numFmtId="4" fontId="103" fillId="6" borderId="24" xfId="0" applyNumberFormat="1" applyFont="1" applyFill="1" applyBorder="1" applyAlignment="1" applyProtection="1">
      <alignment horizontal="center" vertical="center" wrapText="1"/>
    </xf>
    <xf numFmtId="4" fontId="103" fillId="6" borderId="8" xfId="0" applyNumberFormat="1" applyFont="1" applyFill="1" applyBorder="1" applyAlignment="1" applyProtection="1">
      <alignment horizontal="center" vertical="center" wrapText="1"/>
    </xf>
    <xf numFmtId="4" fontId="103" fillId="6" borderId="6" xfId="0" applyNumberFormat="1" applyFont="1" applyFill="1" applyBorder="1" applyAlignment="1" applyProtection="1">
      <alignment horizontal="center" vertical="center" wrapText="1"/>
    </xf>
    <xf numFmtId="4" fontId="8" fillId="3" borderId="24" xfId="6" applyNumberFormat="1" applyFont="1" applyFill="1" applyBorder="1" applyAlignment="1" applyProtection="1">
      <alignment horizontal="center" vertical="center" wrapText="1"/>
    </xf>
    <xf numFmtId="4" fontId="8" fillId="3" borderId="7" xfId="6" applyNumberFormat="1" applyFont="1" applyFill="1" applyBorder="1" applyAlignment="1" applyProtection="1">
      <alignment horizontal="center" vertical="center" wrapText="1"/>
    </xf>
    <xf numFmtId="0" fontId="102" fillId="0" borderId="0" xfId="0" applyFont="1" applyAlignment="1">
      <alignment vertical="center"/>
    </xf>
    <xf numFmtId="0" fontId="79" fillId="0" borderId="0" xfId="0" applyFont="1"/>
    <xf numFmtId="0" fontId="8" fillId="3" borderId="1" xfId="6" applyFont="1" applyFill="1" applyBorder="1" applyAlignment="1">
      <alignment horizontal="left" vertical="center"/>
    </xf>
    <xf numFmtId="4" fontId="8" fillId="10" borderId="1" xfId="6" applyNumberFormat="1" applyFont="1" applyFill="1" applyBorder="1" applyAlignment="1" applyProtection="1">
      <alignment horizontal="center" vertical="center"/>
    </xf>
    <xf numFmtId="0" fontId="8" fillId="3" borderId="0" xfId="6" applyFont="1" applyFill="1" applyBorder="1" applyAlignment="1">
      <alignment vertical="center" wrapText="1"/>
    </xf>
    <xf numFmtId="4" fontId="103" fillId="3" borderId="1" xfId="0" applyNumberFormat="1" applyFont="1" applyFill="1" applyBorder="1" applyAlignment="1" applyProtection="1">
      <alignment horizontal="center" vertical="center" wrapText="1"/>
      <protection locked="0"/>
    </xf>
    <xf numFmtId="4" fontId="103" fillId="6" borderId="1" xfId="0" applyNumberFormat="1" applyFont="1" applyFill="1" applyBorder="1" applyAlignment="1" applyProtection="1">
      <alignment horizontal="center" vertical="center" wrapText="1"/>
    </xf>
    <xf numFmtId="0" fontId="121" fillId="3" borderId="1" xfId="6" applyFont="1" applyFill="1" applyBorder="1" applyAlignment="1">
      <alignment horizontal="left" vertical="center"/>
    </xf>
    <xf numFmtId="182" fontId="103" fillId="0" borderId="3" xfId="0" applyNumberFormat="1" applyFont="1" applyFill="1" applyBorder="1" applyAlignment="1" applyProtection="1">
      <alignment horizontal="center" vertical="center"/>
    </xf>
    <xf numFmtId="0" fontId="103" fillId="19" borderId="1" xfId="0" applyFont="1" applyFill="1" applyBorder="1" applyAlignment="1" applyProtection="1">
      <alignment horizontal="center" vertical="center" wrapText="1"/>
    </xf>
    <xf numFmtId="0" fontId="103" fillId="0" borderId="2" xfId="0" applyFont="1" applyBorder="1" applyAlignment="1" applyProtection="1">
      <alignment horizontal="center" vertical="center" wrapText="1"/>
    </xf>
    <xf numFmtId="0" fontId="103" fillId="0" borderId="5" xfId="0" applyFont="1" applyBorder="1" applyAlignment="1" applyProtection="1">
      <alignment horizontal="center" vertical="center" wrapText="1"/>
    </xf>
    <xf numFmtId="4" fontId="103" fillId="17" borderId="1" xfId="0" applyNumberFormat="1" applyFont="1" applyFill="1" applyBorder="1" applyAlignment="1" applyProtection="1">
      <alignment horizontal="right" vertical="center"/>
    </xf>
    <xf numFmtId="4" fontId="8" fillId="8" borderId="1" xfId="6" applyNumberFormat="1" applyFont="1" applyFill="1" applyBorder="1" applyAlignment="1" applyProtection="1">
      <alignment horizontal="center" vertical="center"/>
    </xf>
    <xf numFmtId="4" fontId="103" fillId="17" borderId="1" xfId="0" applyNumberFormat="1" applyFont="1" applyFill="1" applyBorder="1" applyAlignment="1" applyProtection="1">
      <alignment horizontal="center" vertical="center"/>
    </xf>
    <xf numFmtId="4" fontId="103" fillId="6" borderId="1" xfId="0" applyNumberFormat="1" applyFont="1" applyFill="1" applyBorder="1" applyAlignment="1" applyProtection="1">
      <alignment horizontal="right" vertical="center"/>
    </xf>
    <xf numFmtId="4" fontId="103" fillId="17" borderId="5" xfId="0" applyNumberFormat="1" applyFont="1" applyFill="1" applyBorder="1" applyAlignment="1" applyProtection="1">
      <alignment horizontal="right" vertical="center"/>
    </xf>
    <xf numFmtId="4" fontId="103" fillId="3" borderId="1" xfId="0" applyNumberFormat="1" applyFont="1" applyFill="1" applyBorder="1" applyAlignment="1" applyProtection="1">
      <alignment horizontal="right" vertical="center"/>
    </xf>
    <xf numFmtId="4" fontId="103" fillId="3" borderId="1" xfId="0" applyNumberFormat="1" applyFont="1" applyFill="1" applyBorder="1" applyAlignment="1" applyProtection="1">
      <alignment horizontal="right" vertical="center"/>
      <protection locked="0"/>
    </xf>
    <xf numFmtId="4" fontId="103" fillId="3" borderId="5" xfId="0" applyNumberFormat="1" applyFont="1" applyFill="1" applyBorder="1" applyAlignment="1" applyProtection="1">
      <alignment horizontal="right" vertical="center"/>
      <protection locked="0"/>
    </xf>
    <xf numFmtId="4" fontId="103" fillId="3" borderId="5" xfId="0" applyNumberFormat="1" applyFont="1" applyFill="1" applyBorder="1" applyAlignment="1" applyProtection="1">
      <alignment horizontal="right" vertical="center"/>
    </xf>
    <xf numFmtId="0" fontId="103" fillId="0" borderId="2" xfId="0" applyFont="1" applyBorder="1" applyAlignment="1" applyProtection="1">
      <alignment horizontal="center" vertical="center"/>
    </xf>
    <xf numFmtId="0" fontId="8" fillId="0" borderId="6" xfId="6" applyFont="1" applyFill="1" applyBorder="1" applyAlignment="1" applyProtection="1">
      <alignment horizontal="center" vertical="center"/>
    </xf>
    <xf numFmtId="0" fontId="8" fillId="3" borderId="6" xfId="6" applyFont="1" applyFill="1" applyBorder="1" applyAlignment="1" applyProtection="1">
      <alignment vertical="center"/>
    </xf>
    <xf numFmtId="4" fontId="103" fillId="3" borderId="6" xfId="0" applyNumberFormat="1" applyFont="1" applyFill="1" applyBorder="1" applyAlignment="1" applyProtection="1">
      <alignment horizontal="center" vertical="center" wrapText="1"/>
    </xf>
    <xf numFmtId="0" fontId="8" fillId="3" borderId="6" xfId="6" applyFont="1" applyFill="1" applyBorder="1" applyAlignment="1" applyProtection="1">
      <alignment vertical="center"/>
      <protection locked="0"/>
    </xf>
    <xf numFmtId="0" fontId="8" fillId="3" borderId="7" xfId="6" applyFont="1" applyFill="1" applyBorder="1" applyAlignment="1" applyProtection="1">
      <alignment vertical="center"/>
      <protection locked="0"/>
    </xf>
    <xf numFmtId="0" fontId="103" fillId="0" borderId="1" xfId="0" applyFont="1" applyBorder="1" applyProtection="1">
      <protection locked="0"/>
    </xf>
    <xf numFmtId="180" fontId="103" fillId="6" borderId="20" xfId="0" applyNumberFormat="1" applyFont="1" applyFill="1" applyBorder="1" applyAlignment="1" applyProtection="1">
      <alignment horizontal="center" vertical="center"/>
    </xf>
    <xf numFmtId="0" fontId="116" fillId="0" borderId="0" xfId="0" applyFont="1" applyBorder="1" applyAlignment="1">
      <alignment vertical="center"/>
    </xf>
    <xf numFmtId="0" fontId="103" fillId="0" borderId="59" xfId="0" applyFont="1" applyBorder="1" applyAlignment="1" applyProtection="1">
      <alignment horizontal="center" vertical="center" wrapText="1"/>
    </xf>
    <xf numFmtId="0" fontId="103" fillId="0" borderId="38" xfId="0" applyFont="1" applyBorder="1" applyAlignment="1" applyProtection="1">
      <alignment horizontal="center"/>
    </xf>
    <xf numFmtId="4" fontId="103" fillId="6" borderId="28" xfId="0" applyNumberFormat="1" applyFont="1" applyFill="1" applyBorder="1" applyAlignment="1" applyProtection="1">
      <alignment horizontal="center" vertical="center"/>
    </xf>
    <xf numFmtId="4" fontId="103" fillId="6" borderId="9" xfId="0" applyNumberFormat="1" applyFont="1" applyFill="1" applyBorder="1" applyAlignment="1" applyProtection="1">
      <alignment horizontal="center" vertical="center"/>
    </xf>
    <xf numFmtId="4" fontId="103" fillId="6" borderId="24" xfId="0" applyNumberFormat="1" applyFont="1" applyFill="1" applyBorder="1" applyAlignment="1" applyProtection="1">
      <alignment horizontal="center" vertical="center"/>
    </xf>
    <xf numFmtId="182" fontId="103" fillId="6" borderId="34" xfId="0" applyNumberFormat="1" applyFont="1" applyFill="1" applyBorder="1" applyAlignment="1" applyProtection="1">
      <alignment horizontal="center" vertical="center"/>
    </xf>
    <xf numFmtId="0" fontId="80" fillId="3" borderId="1" xfId="0" applyFont="1" applyFill="1" applyBorder="1" applyProtection="1">
      <protection locked="0"/>
    </xf>
    <xf numFmtId="0" fontId="116" fillId="3" borderId="1" xfId="0" applyFont="1" applyFill="1" applyBorder="1" applyProtection="1">
      <protection locked="0"/>
    </xf>
    <xf numFmtId="0" fontId="103" fillId="3" borderId="1" xfId="0" applyFont="1" applyFill="1" applyBorder="1" applyProtection="1">
      <protection locked="0"/>
    </xf>
    <xf numFmtId="182" fontId="102" fillId="3" borderId="1" xfId="0" applyNumberFormat="1" applyFont="1" applyFill="1" applyBorder="1" applyProtection="1">
      <protection locked="0"/>
    </xf>
    <xf numFmtId="182" fontId="102" fillId="3" borderId="1" xfId="0" applyNumberFormat="1" applyFont="1" applyFill="1" applyBorder="1" applyAlignment="1" applyProtection="1">
      <alignment horizontal="center"/>
      <protection locked="0"/>
    </xf>
    <xf numFmtId="182" fontId="86" fillId="3" borderId="1" xfId="0" applyNumberFormat="1" applyFont="1" applyFill="1" applyBorder="1" applyProtection="1">
      <protection locked="0"/>
    </xf>
    <xf numFmtId="182" fontId="86" fillId="3" borderId="1" xfId="0" applyNumberFormat="1" applyFont="1" applyFill="1" applyBorder="1" applyAlignment="1" applyProtection="1">
      <alignment horizontal="center"/>
      <protection locked="0"/>
    </xf>
    <xf numFmtId="182" fontId="122" fillId="3" borderId="1" xfId="0" applyNumberFormat="1" applyFont="1" applyFill="1" applyBorder="1" applyProtection="1">
      <protection locked="0"/>
    </xf>
    <xf numFmtId="4" fontId="122" fillId="3" borderId="1" xfId="0" applyNumberFormat="1" applyFont="1" applyFill="1" applyBorder="1" applyAlignment="1" applyProtection="1">
      <alignment horizontal="right"/>
      <protection locked="0"/>
    </xf>
    <xf numFmtId="4" fontId="86" fillId="3" borderId="1" xfId="0" applyNumberFormat="1" applyFont="1" applyFill="1" applyBorder="1" applyAlignment="1" applyProtection="1">
      <alignment horizontal="right"/>
      <protection locked="0"/>
    </xf>
    <xf numFmtId="0" fontId="19" fillId="0" borderId="1" xfId="6" applyFont="1" applyFill="1" applyBorder="1" applyAlignment="1" applyProtection="1">
      <alignment vertical="center" wrapText="1"/>
      <protection locked="0"/>
    </xf>
    <xf numFmtId="0" fontId="19" fillId="0" borderId="1" xfId="6" applyFont="1" applyFill="1" applyBorder="1" applyAlignment="1" applyProtection="1">
      <alignment horizontal="left" vertical="center" wrapText="1"/>
      <protection locked="0"/>
    </xf>
    <xf numFmtId="4" fontId="80" fillId="3" borderId="1" xfId="0" applyNumberFormat="1" applyFont="1" applyFill="1" applyBorder="1" applyProtection="1">
      <protection locked="0"/>
    </xf>
    <xf numFmtId="0" fontId="103" fillId="3" borderId="27" xfId="0" applyFont="1" applyFill="1" applyBorder="1" applyAlignment="1">
      <alignment horizontal="center" vertical="center" wrapText="1"/>
    </xf>
    <xf numFmtId="4" fontId="97" fillId="6" borderId="55" xfId="0" applyNumberFormat="1" applyFont="1" applyFill="1" applyBorder="1" applyAlignment="1" applyProtection="1">
      <alignment horizontal="right"/>
    </xf>
    <xf numFmtId="4" fontId="103" fillId="3" borderId="25" xfId="0" applyNumberFormat="1" applyFont="1" applyFill="1" applyBorder="1" applyAlignment="1" applyProtection="1">
      <alignment horizontal="center" vertical="center" wrapText="1"/>
    </xf>
    <xf numFmtId="182" fontId="102" fillId="6" borderId="25" xfId="0" applyNumberFormat="1" applyFont="1" applyFill="1" applyBorder="1" applyProtection="1"/>
    <xf numFmtId="0" fontId="103" fillId="3" borderId="11" xfId="0" applyFont="1" applyFill="1" applyBorder="1" applyProtection="1">
      <protection locked="0"/>
    </xf>
    <xf numFmtId="182" fontId="102" fillId="3" borderId="11" xfId="0" applyNumberFormat="1" applyFont="1" applyFill="1" applyBorder="1" applyProtection="1">
      <protection locked="0"/>
    </xf>
    <xf numFmtId="182" fontId="102" fillId="3" borderId="11" xfId="0" applyNumberFormat="1" applyFont="1" applyFill="1" applyBorder="1" applyAlignment="1" applyProtection="1">
      <alignment horizontal="center"/>
      <protection locked="0"/>
    </xf>
    <xf numFmtId="4" fontId="102" fillId="3" borderId="11" xfId="0" applyNumberFormat="1" applyFont="1" applyFill="1" applyBorder="1" applyAlignment="1" applyProtection="1">
      <alignment horizontal="right"/>
      <protection locked="0"/>
    </xf>
    <xf numFmtId="182" fontId="106" fillId="3" borderId="11" xfId="0" applyNumberFormat="1" applyFont="1" applyFill="1" applyBorder="1" applyProtection="1">
      <protection locked="0"/>
    </xf>
    <xf numFmtId="4" fontId="102" fillId="3" borderId="1" xfId="0" applyNumberFormat="1" applyFont="1" applyFill="1" applyBorder="1" applyAlignment="1" applyProtection="1">
      <protection locked="0"/>
    </xf>
    <xf numFmtId="4" fontId="80" fillId="3" borderId="13" xfId="0" applyNumberFormat="1" applyFont="1" applyFill="1" applyBorder="1" applyProtection="1">
      <protection locked="0"/>
    </xf>
    <xf numFmtId="0" fontId="80" fillId="3" borderId="13" xfId="0" applyFont="1" applyFill="1" applyBorder="1" applyProtection="1">
      <protection locked="0"/>
    </xf>
    <xf numFmtId="0" fontId="103" fillId="30" borderId="16" xfId="0" applyFont="1" applyFill="1" applyBorder="1" applyAlignment="1">
      <alignment horizontal="center" vertical="center" wrapText="1"/>
    </xf>
    <xf numFmtId="0" fontId="103" fillId="31" borderId="16" xfId="0" applyFont="1" applyFill="1" applyBorder="1" applyAlignment="1">
      <alignment horizontal="center" vertical="center" wrapText="1"/>
    </xf>
    <xf numFmtId="0" fontId="102" fillId="3" borderId="18" xfId="0" applyFont="1" applyFill="1" applyBorder="1" applyAlignment="1" applyProtection="1">
      <alignment horizontal="center" vertical="center"/>
      <protection locked="0"/>
    </xf>
    <xf numFmtId="4" fontId="8" fillId="3" borderId="55" xfId="6" applyNumberFormat="1" applyFont="1" applyFill="1" applyBorder="1" applyAlignment="1" applyProtection="1">
      <alignment horizontal="center" vertical="center" wrapText="1"/>
    </xf>
    <xf numFmtId="0" fontId="8" fillId="0" borderId="0" xfId="6" applyFont="1" applyFill="1" applyBorder="1" applyAlignment="1" applyProtection="1">
      <alignment vertical="center"/>
      <protection locked="0"/>
    </xf>
    <xf numFmtId="0" fontId="103" fillId="0" borderId="0" xfId="0" applyFont="1" applyAlignment="1" applyProtection="1">
      <alignment wrapText="1"/>
    </xf>
    <xf numFmtId="182" fontId="103" fillId="0" borderId="0" xfId="0" applyNumberFormat="1" applyFont="1" applyProtection="1">
      <protection locked="0"/>
    </xf>
    <xf numFmtId="0" fontId="8" fillId="0" borderId="0" xfId="6" applyFont="1" applyFill="1" applyBorder="1" applyAlignment="1" applyProtection="1">
      <alignment vertical="center" wrapText="1"/>
      <protection locked="0"/>
    </xf>
    <xf numFmtId="183" fontId="2" fillId="0" borderId="2" xfId="6" applyNumberFormat="1" applyFont="1" applyFill="1" applyBorder="1" applyAlignment="1" applyProtection="1">
      <alignment horizontal="center" vertical="center" wrapText="1"/>
    </xf>
    <xf numFmtId="183" fontId="2" fillId="0" borderId="5" xfId="6" applyNumberFormat="1" applyFont="1" applyFill="1" applyBorder="1" applyAlignment="1" applyProtection="1">
      <alignment horizontal="center" vertical="center" wrapText="1"/>
    </xf>
    <xf numFmtId="184" fontId="92" fillId="3" borderId="0" xfId="6" applyNumberFormat="1" applyFont="1" applyFill="1" applyBorder="1" applyAlignment="1" applyProtection="1">
      <alignment vertical="center"/>
    </xf>
    <xf numFmtId="0" fontId="89" fillId="3" borderId="0" xfId="6" applyFont="1" applyFill="1" applyBorder="1" applyAlignment="1" applyProtection="1">
      <alignment vertical="center"/>
    </xf>
    <xf numFmtId="0" fontId="84" fillId="4" borderId="11" xfId="0" applyFont="1" applyFill="1" applyBorder="1" applyAlignment="1">
      <alignment horizontal="center" vertical="center"/>
    </xf>
    <xf numFmtId="0" fontId="84" fillId="3" borderId="11" xfId="0" applyFont="1" applyFill="1" applyBorder="1" applyAlignment="1">
      <alignment horizontal="left" vertical="center"/>
    </xf>
    <xf numFmtId="0" fontId="98" fillId="0" borderId="12" xfId="0" applyFont="1" applyBorder="1" applyAlignment="1">
      <alignment horizontal="center"/>
    </xf>
    <xf numFmtId="4" fontId="85" fillId="3" borderId="4" xfId="0" applyNumberFormat="1" applyFont="1" applyFill="1" applyBorder="1" applyAlignment="1">
      <alignment horizontal="center" vertical="center" wrapText="1"/>
    </xf>
    <xf numFmtId="0" fontId="2" fillId="3" borderId="3" xfId="6" applyFont="1" applyFill="1" applyBorder="1" applyAlignment="1">
      <alignment horizontal="center" vertical="center"/>
    </xf>
    <xf numFmtId="4" fontId="85" fillId="3" borderId="3" xfId="0" applyNumberFormat="1" applyFont="1" applyFill="1" applyBorder="1" applyAlignment="1">
      <alignment horizontal="center" vertical="center" wrapText="1"/>
    </xf>
    <xf numFmtId="180" fontId="97" fillId="3" borderId="1" xfId="6" quotePrefix="1" applyNumberFormat="1" applyFont="1" applyFill="1" applyBorder="1" applyAlignment="1">
      <alignment horizontal="center" vertical="center"/>
    </xf>
    <xf numFmtId="4" fontId="85" fillId="3" borderId="55" xfId="0" applyNumberFormat="1" applyFont="1" applyFill="1" applyBorder="1" applyAlignment="1">
      <alignment horizontal="center" vertical="center" wrapText="1"/>
    </xf>
    <xf numFmtId="0" fontId="2" fillId="3" borderId="15" xfId="6" applyFont="1" applyFill="1" applyBorder="1" applyAlignment="1">
      <alignment vertical="center" wrapText="1"/>
    </xf>
    <xf numFmtId="1" fontId="2" fillId="3" borderId="5" xfId="6" applyNumberFormat="1" applyFont="1" applyFill="1" applyBorder="1" applyAlignment="1">
      <alignment horizontal="center" vertical="center"/>
    </xf>
    <xf numFmtId="180" fontId="97" fillId="3" borderId="6" xfId="6" quotePrefix="1" applyNumberFormat="1" applyFont="1" applyFill="1" applyBorder="1" applyAlignment="1">
      <alignment horizontal="center" vertical="center"/>
    </xf>
    <xf numFmtId="1" fontId="2" fillId="3" borderId="7" xfId="6" applyNumberFormat="1" applyFont="1" applyFill="1" applyBorder="1" applyAlignment="1">
      <alignment horizontal="center" vertical="center"/>
    </xf>
    <xf numFmtId="0" fontId="48" fillId="3" borderId="0" xfId="6" applyFont="1" applyFill="1" applyBorder="1" applyAlignment="1" applyProtection="1">
      <alignment horizontal="left" vertical="center"/>
    </xf>
    <xf numFmtId="0" fontId="48" fillId="3" borderId="0" xfId="6" applyFont="1" applyFill="1" applyBorder="1" applyAlignment="1" applyProtection="1">
      <alignment horizontal="center" vertical="center" wrapText="1"/>
    </xf>
    <xf numFmtId="180" fontId="48" fillId="3" borderId="0" xfId="6" applyNumberFormat="1" applyFont="1" applyFill="1" applyBorder="1" applyAlignment="1" applyProtection="1">
      <alignment horizontal="center" vertical="center"/>
    </xf>
    <xf numFmtId="0" fontId="123" fillId="0" borderId="0" xfId="6" applyFont="1" applyFill="1" applyBorder="1" applyAlignment="1" applyProtection="1">
      <alignment vertical="center"/>
    </xf>
    <xf numFmtId="49" fontId="17" fillId="3" borderId="1" xfId="6" applyNumberFormat="1" applyFont="1" applyFill="1" applyBorder="1" applyAlignment="1" applyProtection="1">
      <alignment horizontal="center" vertical="center" wrapText="1" readingOrder="1"/>
    </xf>
    <xf numFmtId="49" fontId="17" fillId="3" borderId="2" xfId="6" applyNumberFormat="1" applyFont="1" applyFill="1" applyBorder="1" applyAlignment="1" applyProtection="1">
      <alignment vertical="center"/>
    </xf>
    <xf numFmtId="180" fontId="17" fillId="3" borderId="1" xfId="6" applyNumberFormat="1" applyFont="1" applyFill="1" applyBorder="1" applyAlignment="1" applyProtection="1">
      <alignment horizontal="center" vertical="center"/>
    </xf>
    <xf numFmtId="180" fontId="17" fillId="3" borderId="5" xfId="6" applyNumberFormat="1" applyFont="1" applyFill="1" applyBorder="1" applyAlignment="1" applyProtection="1">
      <alignment horizontal="center" vertical="center"/>
    </xf>
    <xf numFmtId="49" fontId="17" fillId="3" borderId="8" xfId="6" applyNumberFormat="1" applyFont="1" applyFill="1" applyBorder="1" applyAlignment="1" applyProtection="1">
      <alignment vertical="center"/>
    </xf>
    <xf numFmtId="180" fontId="48" fillId="3" borderId="6" xfId="6" applyNumberFormat="1" applyFont="1" applyFill="1" applyBorder="1" applyAlignment="1" applyProtection="1">
      <alignment horizontal="center" vertical="center"/>
    </xf>
    <xf numFmtId="49" fontId="22" fillId="3" borderId="0" xfId="6" applyNumberFormat="1" applyFont="1" applyFill="1" applyBorder="1" applyAlignment="1" applyProtection="1">
      <alignment vertical="center"/>
    </xf>
    <xf numFmtId="0" fontId="17" fillId="3" borderId="0" xfId="6" applyFont="1" applyFill="1" applyBorder="1" applyAlignment="1" applyProtection="1">
      <alignment horizontal="center" vertical="center" wrapText="1"/>
    </xf>
    <xf numFmtId="0" fontId="48" fillId="0" borderId="0" xfId="6" applyFont="1" applyFill="1" applyBorder="1" applyAlignment="1" applyProtection="1">
      <alignment horizontal="center" vertical="center"/>
    </xf>
    <xf numFmtId="49" fontId="17" fillId="3" borderId="0" xfId="6" applyNumberFormat="1" applyFont="1" applyFill="1" applyBorder="1" applyAlignment="1" applyProtection="1">
      <alignment horizontal="center" vertical="center" wrapText="1" readingOrder="1"/>
    </xf>
    <xf numFmtId="180" fontId="22" fillId="3" borderId="0" xfId="6" applyNumberFormat="1" applyFont="1" applyFill="1" applyBorder="1" applyAlignment="1" applyProtection="1">
      <alignment horizontal="center" vertical="center"/>
    </xf>
    <xf numFmtId="180" fontId="48" fillId="3" borderId="7" xfId="6" applyNumberFormat="1" applyFont="1" applyFill="1" applyBorder="1" applyAlignment="1" applyProtection="1">
      <alignment horizontal="center" vertical="center"/>
    </xf>
    <xf numFmtId="180" fontId="22" fillId="3" borderId="1" xfId="6" applyNumberFormat="1" applyFont="1" applyFill="1" applyBorder="1" applyAlignment="1" applyProtection="1">
      <alignment horizontal="center" vertical="center"/>
    </xf>
    <xf numFmtId="180" fontId="48" fillId="3" borderId="1" xfId="6" applyNumberFormat="1" applyFont="1" applyFill="1" applyBorder="1" applyAlignment="1" applyProtection="1">
      <alignment horizontal="center" vertical="center"/>
    </xf>
    <xf numFmtId="0" fontId="17" fillId="7" borderId="1" xfId="6" applyFont="1" applyFill="1" applyBorder="1" applyAlignment="1" applyProtection="1">
      <alignment horizontal="center" vertical="center"/>
    </xf>
    <xf numFmtId="180" fontId="17" fillId="7" borderId="1" xfId="6" applyNumberFormat="1" applyFont="1" applyFill="1" applyBorder="1" applyAlignment="1" applyProtection="1">
      <alignment horizontal="center" vertical="center"/>
    </xf>
    <xf numFmtId="182" fontId="48" fillId="7" borderId="1" xfId="6" applyNumberFormat="1" applyFont="1" applyFill="1" applyBorder="1" applyAlignment="1" applyProtection="1">
      <alignment horizontal="center" vertical="center"/>
    </xf>
    <xf numFmtId="182" fontId="48" fillId="3" borderId="1" xfId="6" applyNumberFormat="1" applyFont="1" applyFill="1" applyBorder="1" applyAlignment="1" applyProtection="1">
      <alignment horizontal="center" vertical="center"/>
    </xf>
    <xf numFmtId="14" fontId="48" fillId="3" borderId="1" xfId="6" applyNumberFormat="1" applyFont="1" applyFill="1" applyBorder="1" applyAlignment="1" applyProtection="1">
      <alignment horizontal="center" vertical="center"/>
    </xf>
    <xf numFmtId="0" fontId="48" fillId="3" borderId="1" xfId="6" applyFont="1" applyFill="1" applyBorder="1" applyAlignment="1" applyProtection="1">
      <alignment horizontal="center" vertical="center"/>
    </xf>
    <xf numFmtId="16" fontId="17" fillId="3" borderId="1" xfId="6" applyNumberFormat="1" applyFont="1" applyFill="1" applyBorder="1" applyAlignment="1" applyProtection="1">
      <alignment horizontal="center" vertical="center"/>
    </xf>
    <xf numFmtId="4" fontId="103" fillId="6" borderId="28" xfId="0" applyNumberFormat="1" applyFont="1" applyFill="1" applyBorder="1" applyAlignment="1">
      <alignment horizontal="center"/>
    </xf>
    <xf numFmtId="4" fontId="103" fillId="6" borderId="9" xfId="0" applyNumberFormat="1" applyFont="1" applyFill="1" applyBorder="1" applyAlignment="1">
      <alignment horizontal="center"/>
    </xf>
    <xf numFmtId="4" fontId="17" fillId="3" borderId="1" xfId="6" applyNumberFormat="1" applyFont="1" applyFill="1" applyBorder="1" applyAlignment="1" applyProtection="1">
      <alignment horizontal="center" vertical="center"/>
    </xf>
    <xf numFmtId="14" fontId="17" fillId="3" borderId="1" xfId="6" applyNumberFormat="1" applyFont="1" applyFill="1" applyBorder="1" applyAlignment="1" applyProtection="1">
      <alignment horizontal="center" vertical="center"/>
    </xf>
    <xf numFmtId="0" fontId="22" fillId="3" borderId="1" xfId="6" applyFont="1" applyFill="1" applyBorder="1" applyAlignment="1" applyProtection="1">
      <alignment horizontal="center" vertical="center"/>
    </xf>
    <xf numFmtId="0" fontId="17" fillId="22" borderId="1" xfId="6" applyFont="1" applyFill="1" applyBorder="1" applyAlignment="1" applyProtection="1">
      <alignment horizontal="center" vertical="center"/>
    </xf>
    <xf numFmtId="180" fontId="17" fillId="22" borderId="1" xfId="6" applyNumberFormat="1" applyFont="1" applyFill="1" applyBorder="1" applyAlignment="1" applyProtection="1">
      <alignment horizontal="center" vertical="center"/>
    </xf>
    <xf numFmtId="182" fontId="48" fillId="22" borderId="1" xfId="6" applyNumberFormat="1" applyFont="1" applyFill="1" applyBorder="1" applyAlignment="1" applyProtection="1">
      <alignment horizontal="center" vertical="center"/>
    </xf>
    <xf numFmtId="0" fontId="17" fillId="22" borderId="9" xfId="6" applyFont="1" applyFill="1" applyBorder="1" applyAlignment="1" applyProtection="1">
      <alignment horizontal="left" vertical="center" indent="2"/>
    </xf>
    <xf numFmtId="0" fontId="48" fillId="22" borderId="60" xfId="6" applyFont="1" applyFill="1" applyBorder="1" applyAlignment="1" applyProtection="1">
      <alignment horizontal="left" vertical="center" indent="2"/>
    </xf>
    <xf numFmtId="0" fontId="48" fillId="22" borderId="25" xfId="6" applyFont="1" applyFill="1" applyBorder="1" applyAlignment="1" applyProtection="1">
      <alignment horizontal="left" vertical="center" indent="2"/>
    </xf>
    <xf numFmtId="182" fontId="17" fillId="22" borderId="1" xfId="6" applyNumberFormat="1" applyFont="1" applyFill="1" applyBorder="1" applyAlignment="1" applyProtection="1">
      <alignment horizontal="center" vertical="center"/>
    </xf>
    <xf numFmtId="0" fontId="2" fillId="10" borderId="1" xfId="0" applyFont="1" applyFill="1" applyBorder="1" applyAlignment="1">
      <alignment horizontal="left" vertical="center" wrapText="1"/>
    </xf>
    <xf numFmtId="49" fontId="17" fillId="3" borderId="0" xfId="6" applyNumberFormat="1" applyFont="1" applyFill="1" applyBorder="1" applyAlignment="1" applyProtection="1">
      <alignment horizontal="center" vertical="center"/>
    </xf>
    <xf numFmtId="4" fontId="22" fillId="3" borderId="0" xfId="6" applyNumberFormat="1" applyFont="1" applyFill="1" applyBorder="1" applyAlignment="1" applyProtection="1">
      <alignment horizontal="left" vertical="center" wrapText="1"/>
    </xf>
    <xf numFmtId="180" fontId="49" fillId="3" borderId="0" xfId="6" applyNumberFormat="1" applyFont="1" applyFill="1" applyBorder="1" applyAlignment="1" applyProtection="1">
      <alignment horizontal="center" vertical="center" wrapText="1" readingOrder="1"/>
    </xf>
    <xf numFmtId="49" fontId="124" fillId="3" borderId="1" xfId="6" applyNumberFormat="1" applyFont="1" applyFill="1" applyBorder="1" applyAlignment="1" applyProtection="1">
      <alignment horizontal="center" vertical="center" wrapText="1" readingOrder="1"/>
    </xf>
    <xf numFmtId="49" fontId="17" fillId="3" borderId="1" xfId="6" applyNumberFormat="1" applyFont="1" applyFill="1" applyBorder="1" applyAlignment="1" applyProtection="1">
      <alignment horizontal="center"/>
    </xf>
    <xf numFmtId="182" fontId="48" fillId="3" borderId="1" xfId="6" applyNumberFormat="1" applyFont="1" applyFill="1" applyBorder="1" applyAlignment="1" applyProtection="1">
      <alignment horizontal="center" vertical="center" wrapText="1" readingOrder="1"/>
    </xf>
    <xf numFmtId="0" fontId="17" fillId="3" borderId="1" xfId="6" applyFont="1" applyFill="1" applyBorder="1" applyAlignment="1" applyProtection="1">
      <alignment vertical="center"/>
    </xf>
    <xf numFmtId="0" fontId="17" fillId="3" borderId="1" xfId="6" applyFont="1" applyFill="1" applyBorder="1" applyAlignment="1" applyProtection="1">
      <alignment horizontal="center"/>
    </xf>
    <xf numFmtId="49" fontId="17" fillId="22" borderId="1" xfId="6" applyNumberFormat="1" applyFont="1" applyFill="1" applyBorder="1" applyAlignment="1" applyProtection="1">
      <alignment horizontal="center"/>
    </xf>
    <xf numFmtId="49" fontId="48" fillId="22" borderId="1" xfId="6" applyNumberFormat="1" applyFont="1" applyFill="1" applyBorder="1" applyAlignment="1" applyProtection="1">
      <alignment horizontal="center" vertical="center" wrapText="1" readingOrder="1"/>
    </xf>
    <xf numFmtId="0" fontId="5" fillId="0" borderId="0" xfId="6" applyFont="1" applyFill="1" applyBorder="1" applyAlignment="1" applyProtection="1">
      <alignment horizontal="center" vertical="center"/>
    </xf>
    <xf numFmtId="3" fontId="86" fillId="12" borderId="1" xfId="0" applyNumberFormat="1" applyFont="1" applyFill="1" applyBorder="1" applyAlignment="1">
      <alignment horizontal="center" vertical="center"/>
    </xf>
    <xf numFmtId="0" fontId="125" fillId="0" borderId="0" xfId="6" applyFont="1" applyFill="1" applyBorder="1" applyAlignment="1" applyProtection="1">
      <alignment vertical="center"/>
    </xf>
    <xf numFmtId="4" fontId="85" fillId="12" borderId="6" xfId="0" applyNumberFormat="1" applyFont="1" applyFill="1" applyBorder="1" applyAlignment="1">
      <alignment horizontal="center" vertical="center"/>
    </xf>
    <xf numFmtId="4" fontId="85" fillId="12" borderId="7" xfId="0" applyNumberFormat="1" applyFont="1" applyFill="1" applyBorder="1" applyAlignment="1">
      <alignment horizontal="center" vertical="center"/>
    </xf>
    <xf numFmtId="0" fontId="46" fillId="3" borderId="2" xfId="6" applyFont="1" applyFill="1" applyBorder="1" applyAlignment="1">
      <alignment horizontal="center" vertical="center"/>
    </xf>
    <xf numFmtId="182" fontId="124" fillId="3" borderId="1" xfId="6" applyNumberFormat="1" applyFont="1" applyFill="1" applyBorder="1" applyAlignment="1" applyProtection="1">
      <alignment horizontal="center" vertical="center"/>
    </xf>
    <xf numFmtId="0" fontId="22" fillId="0" borderId="1" xfId="6" applyFont="1" applyFill="1" applyBorder="1" applyAlignment="1" applyProtection="1">
      <alignment horizontal="center" vertical="center"/>
    </xf>
    <xf numFmtId="182" fontId="126" fillId="3" borderId="1" xfId="6" applyNumberFormat="1" applyFont="1" applyFill="1" applyBorder="1" applyAlignment="1" applyProtection="1">
      <alignment horizontal="center" vertical="center"/>
    </xf>
    <xf numFmtId="49" fontId="17" fillId="3" borderId="0" xfId="6" applyNumberFormat="1" applyFont="1" applyFill="1" applyBorder="1" applyAlignment="1" applyProtection="1">
      <alignment vertical="center"/>
    </xf>
    <xf numFmtId="0" fontId="2" fillId="3" borderId="1" xfId="0" applyFont="1" applyFill="1" applyBorder="1" applyAlignment="1">
      <alignment horizontal="left" vertical="center" wrapText="1"/>
    </xf>
    <xf numFmtId="0" fontId="127" fillId="0" borderId="0" xfId="6" applyFont="1" applyFill="1" applyBorder="1" applyAlignment="1" applyProtection="1">
      <alignment vertical="center"/>
    </xf>
    <xf numFmtId="4" fontId="93" fillId="3" borderId="0" xfId="6" applyNumberFormat="1" applyFont="1" applyFill="1" applyBorder="1" applyAlignment="1" applyProtection="1">
      <alignment horizontal="center" vertical="center"/>
      <protection locked="0"/>
    </xf>
    <xf numFmtId="4" fontId="103" fillId="3" borderId="9" xfId="0" applyNumberFormat="1" applyFont="1" applyFill="1" applyBorder="1" applyAlignment="1" applyProtection="1">
      <alignment horizontal="right"/>
      <protection locked="0"/>
    </xf>
    <xf numFmtId="0" fontId="107" fillId="19" borderId="13" xfId="0" applyFont="1" applyFill="1" applyBorder="1" applyAlignment="1">
      <alignment horizontal="center"/>
    </xf>
    <xf numFmtId="0" fontId="2" fillId="3" borderId="1" xfId="0" applyFont="1" applyFill="1" applyBorder="1" applyAlignment="1">
      <alignment horizontal="left" vertical="center" wrapText="1"/>
    </xf>
    <xf numFmtId="0" fontId="2" fillId="3" borderId="1" xfId="6" applyFont="1" applyFill="1" applyBorder="1" applyAlignment="1">
      <alignment horizontal="center" vertical="center"/>
    </xf>
    <xf numFmtId="0" fontId="0" fillId="0" borderId="0" xfId="0"/>
    <xf numFmtId="0" fontId="85" fillId="3" borderId="31" xfId="0" applyFont="1" applyFill="1" applyBorder="1" applyAlignment="1">
      <alignment horizontal="left" vertical="center" wrapText="1"/>
    </xf>
    <xf numFmtId="4" fontId="3" fillId="3" borderId="1" xfId="0" applyNumberFormat="1" applyFont="1" applyFill="1" applyBorder="1" applyProtection="1">
      <protection locked="0"/>
    </xf>
    <xf numFmtId="0" fontId="107" fillId="3" borderId="57" xfId="0" applyFont="1" applyFill="1" applyBorder="1"/>
    <xf numFmtId="16" fontId="85" fillId="19" borderId="41" xfId="0" applyNumberFormat="1" applyFont="1" applyFill="1" applyBorder="1" applyAlignment="1">
      <alignment horizontal="center" vertical="center"/>
    </xf>
    <xf numFmtId="0" fontId="2" fillId="19" borderId="23" xfId="0" applyFont="1" applyFill="1" applyBorder="1" applyAlignment="1">
      <alignment horizontal="left" vertical="center" wrapText="1"/>
    </xf>
    <xf numFmtId="0" fontId="107" fillId="19" borderId="23" xfId="0" applyFont="1" applyFill="1" applyBorder="1"/>
    <xf numFmtId="0" fontId="107" fillId="19" borderId="42" xfId="0" applyFont="1" applyFill="1" applyBorder="1" applyAlignment="1">
      <alignment horizontal="center"/>
    </xf>
    <xf numFmtId="180" fontId="2" fillId="3" borderId="56" xfId="6" applyNumberFormat="1" applyFont="1" applyFill="1" applyBorder="1" applyAlignment="1" applyProtection="1">
      <alignment horizontal="center" vertical="center" wrapText="1"/>
    </xf>
    <xf numFmtId="180" fontId="2" fillId="3" borderId="13" xfId="6" applyNumberFormat="1" applyFont="1" applyFill="1" applyBorder="1" applyAlignment="1" applyProtection="1">
      <alignment horizontal="center" vertical="center" wrapText="1"/>
    </xf>
    <xf numFmtId="4" fontId="2" fillId="3" borderId="38" xfId="6" applyNumberFormat="1" applyFont="1" applyFill="1" applyBorder="1" applyAlignment="1" applyProtection="1">
      <alignment horizontal="center" vertical="center" wrapText="1"/>
    </xf>
    <xf numFmtId="0" fontId="0" fillId="0" borderId="0" xfId="0" applyFill="1" applyAlignment="1">
      <alignment wrapText="1"/>
    </xf>
    <xf numFmtId="0" fontId="0" fillId="0" borderId="0" xfId="0" applyFill="1"/>
    <xf numFmtId="0" fontId="0" fillId="0" borderId="0" xfId="0" applyFill="1" applyBorder="1" applyAlignment="1">
      <alignment wrapText="1"/>
    </xf>
    <xf numFmtId="4" fontId="2" fillId="0" borderId="0" xfId="6" applyNumberFormat="1" applyFont="1" applyFill="1" applyBorder="1" applyAlignment="1" applyProtection="1">
      <alignment horizontal="center" vertical="center" wrapText="1"/>
    </xf>
    <xf numFmtId="0" fontId="0" fillId="0" borderId="0" xfId="0" applyFill="1" applyBorder="1"/>
    <xf numFmtId="4" fontId="117" fillId="25" borderId="8" xfId="6" applyNumberFormat="1" applyFont="1" applyFill="1" applyBorder="1" applyAlignment="1" applyProtection="1">
      <alignment horizontal="center" vertical="center" wrapText="1"/>
    </xf>
    <xf numFmtId="4" fontId="6" fillId="17" borderId="1" xfId="6" applyNumberFormat="1" applyFont="1" applyFill="1" applyBorder="1" applyAlignment="1">
      <alignment horizontal="center" vertical="center"/>
    </xf>
    <xf numFmtId="43" fontId="73" fillId="0" borderId="1" xfId="8" applyFont="1" applyBorder="1"/>
    <xf numFmtId="43" fontId="73" fillId="19" borderId="1" xfId="8" applyFont="1" applyFill="1" applyBorder="1"/>
    <xf numFmtId="43" fontId="0" fillId="0" borderId="1" xfId="0" applyNumberFormat="1" applyBorder="1"/>
    <xf numFmtId="43" fontId="77" fillId="0" borderId="1" xfId="8" applyFont="1" applyBorder="1"/>
    <xf numFmtId="0" fontId="85" fillId="19" borderId="2" xfId="0" applyFont="1" applyFill="1" applyBorder="1" applyAlignment="1">
      <alignment wrapText="1"/>
    </xf>
    <xf numFmtId="0" fontId="81" fillId="0" borderId="15" xfId="0" applyFont="1" applyBorder="1" applyAlignment="1">
      <alignment horizontal="center" vertical="center" wrapText="1"/>
    </xf>
    <xf numFmtId="0" fontId="85" fillId="19" borderId="8" xfId="0" applyFont="1" applyFill="1" applyBorder="1" applyAlignment="1">
      <alignment wrapText="1"/>
    </xf>
    <xf numFmtId="43" fontId="73" fillId="19" borderId="6" xfId="8" applyFont="1" applyFill="1" applyBorder="1"/>
    <xf numFmtId="49" fontId="12" fillId="3" borderId="52" xfId="6" applyNumberFormat="1" applyFont="1" applyFill="1" applyBorder="1" applyAlignment="1">
      <alignment horizontal="center" vertical="center" wrapText="1"/>
    </xf>
    <xf numFmtId="49" fontId="12" fillId="3" borderId="25" xfId="6" applyNumberFormat="1" applyFont="1" applyFill="1" applyBorder="1" applyAlignment="1">
      <alignment horizontal="center" vertical="center" wrapText="1"/>
    </xf>
    <xf numFmtId="1" fontId="12" fillId="3" borderId="25" xfId="6" applyNumberFormat="1" applyFont="1" applyFill="1" applyBorder="1" applyAlignment="1">
      <alignment horizontal="center" vertical="center"/>
    </xf>
    <xf numFmtId="0" fontId="85" fillId="6" borderId="25" xfId="0" applyFont="1" applyFill="1" applyBorder="1" applyAlignment="1">
      <alignment horizontal="left"/>
    </xf>
    <xf numFmtId="0" fontId="2" fillId="3" borderId="25" xfId="6" applyFont="1" applyFill="1" applyBorder="1" applyAlignment="1">
      <alignment vertical="center"/>
    </xf>
    <xf numFmtId="0" fontId="85" fillId="8" borderId="1" xfId="0" applyFont="1" applyFill="1" applyBorder="1" applyAlignment="1">
      <alignment horizontal="center"/>
    </xf>
    <xf numFmtId="0" fontId="85" fillId="19" borderId="1" xfId="0" applyFont="1" applyFill="1" applyBorder="1" applyAlignment="1">
      <alignment horizontal="center"/>
    </xf>
    <xf numFmtId="0" fontId="0" fillId="3" borderId="21" xfId="0" applyFill="1" applyBorder="1"/>
    <xf numFmtId="0" fontId="85" fillId="19" borderId="1" xfId="0" applyFont="1" applyFill="1" applyBorder="1" applyAlignment="1">
      <alignment horizontal="center" vertical="center"/>
    </xf>
    <xf numFmtId="0" fontId="85" fillId="19" borderId="11" xfId="0" applyFont="1" applyFill="1" applyBorder="1" applyAlignment="1">
      <alignment horizontal="left" vertical="center" wrapText="1"/>
    </xf>
    <xf numFmtId="0" fontId="107" fillId="19" borderId="11" xfId="0" applyFont="1" applyFill="1" applyBorder="1" applyAlignment="1">
      <alignment horizontal="center"/>
    </xf>
    <xf numFmtId="0" fontId="107" fillId="19" borderId="11" xfId="0" applyFont="1" applyFill="1" applyBorder="1"/>
    <xf numFmtId="0" fontId="107" fillId="19" borderId="12" xfId="0" applyFont="1" applyFill="1" applyBorder="1"/>
    <xf numFmtId="0" fontId="2" fillId="3" borderId="1" xfId="6" applyFont="1" applyFill="1" applyBorder="1" applyAlignment="1">
      <alignment horizontal="center" vertical="center" wrapText="1"/>
    </xf>
    <xf numFmtId="0" fontId="2" fillId="3" borderId="1" xfId="6" applyFont="1" applyFill="1" applyBorder="1" applyAlignment="1">
      <alignment horizontal="center" vertical="center"/>
    </xf>
    <xf numFmtId="49" fontId="5" fillId="3" borderId="0" xfId="6" applyNumberFormat="1" applyFont="1" applyFill="1" applyBorder="1" applyAlignment="1" applyProtection="1">
      <alignment vertical="center" wrapText="1" readingOrder="1"/>
      <protection locked="0"/>
    </xf>
    <xf numFmtId="4" fontId="2" fillId="3" borderId="19" xfId="6" applyNumberFormat="1" applyFont="1" applyFill="1" applyBorder="1" applyAlignment="1" applyProtection="1">
      <alignment horizontal="center" vertical="center" wrapText="1"/>
    </xf>
    <xf numFmtId="0" fontId="83" fillId="0" borderId="0" xfId="0" applyFont="1" applyAlignment="1">
      <alignment horizontal="center" vertical="center" wrapText="1"/>
    </xf>
    <xf numFmtId="0" fontId="97" fillId="0" borderId="0" xfId="0" applyFont="1" applyAlignment="1">
      <alignment horizontal="center" vertical="center" wrapText="1"/>
    </xf>
    <xf numFmtId="0" fontId="91" fillId="0" borderId="0" xfId="0" applyFont="1" applyAlignment="1">
      <alignment horizontal="center" vertical="center" wrapText="1"/>
    </xf>
    <xf numFmtId="0" fontId="128" fillId="0" borderId="0" xfId="0" applyFont="1" applyAlignment="1">
      <alignment horizontal="center" vertical="center" wrapText="1"/>
    </xf>
    <xf numFmtId="49" fontId="129" fillId="3" borderId="0" xfId="6" applyNumberFormat="1" applyFont="1" applyFill="1" applyBorder="1" applyAlignment="1" applyProtection="1">
      <alignment horizontal="center" vertical="center" wrapText="1" readingOrder="1"/>
      <protection locked="0"/>
    </xf>
    <xf numFmtId="0" fontId="107" fillId="0" borderId="0" xfId="0" applyFont="1" applyAlignment="1">
      <alignment wrapText="1"/>
    </xf>
    <xf numFmtId="0" fontId="85" fillId="0" borderId="0" xfId="0" applyFont="1" applyAlignment="1">
      <alignment horizontal="center"/>
    </xf>
    <xf numFmtId="0" fontId="103" fillId="0" borderId="0" xfId="0" applyFont="1" applyBorder="1" applyProtection="1">
      <protection locked="0"/>
    </xf>
    <xf numFmtId="0" fontId="103" fillId="0" borderId="0" xfId="0" applyFont="1" applyBorder="1" applyAlignment="1" applyProtection="1">
      <alignment horizontal="left"/>
      <protection locked="0"/>
    </xf>
    <xf numFmtId="182" fontId="103" fillId="0" borderId="0" xfId="0" applyNumberFormat="1" applyFont="1" applyBorder="1" applyAlignment="1" applyProtection="1">
      <alignment horizontal="left"/>
      <protection locked="0"/>
    </xf>
    <xf numFmtId="0" fontId="103" fillId="0" borderId="0" xfId="0" applyFont="1" applyBorder="1"/>
    <xf numFmtId="4" fontId="111" fillId="4" borderId="1" xfId="6" applyNumberFormat="1" applyFont="1" applyFill="1" applyBorder="1" applyAlignment="1" applyProtection="1">
      <alignment horizontal="center" vertical="center"/>
    </xf>
    <xf numFmtId="0" fontId="85" fillId="3" borderId="13" xfId="0" applyFont="1" applyFill="1" applyBorder="1" applyAlignment="1">
      <alignment vertical="center" wrapText="1"/>
    </xf>
    <xf numFmtId="0" fontId="107" fillId="29" borderId="1" xfId="0" applyFont="1" applyFill="1" applyBorder="1" applyAlignment="1">
      <alignment horizontal="center" vertical="center" wrapText="1"/>
    </xf>
    <xf numFmtId="0" fontId="85" fillId="8" borderId="13" xfId="0" applyFont="1" applyFill="1" applyBorder="1" applyAlignment="1">
      <alignment horizontal="center"/>
    </xf>
    <xf numFmtId="180" fontId="117" fillId="8" borderId="6" xfId="6" applyNumberFormat="1" applyFont="1" applyFill="1" applyBorder="1" applyAlignment="1" applyProtection="1">
      <alignment horizontal="center" vertical="center" wrapText="1"/>
    </xf>
    <xf numFmtId="182" fontId="130" fillId="25" borderId="5" xfId="6" applyNumberFormat="1" applyFont="1" applyFill="1" applyBorder="1" applyAlignment="1" applyProtection="1">
      <alignment vertical="center" wrapText="1"/>
    </xf>
    <xf numFmtId="4" fontId="2" fillId="3" borderId="23" xfId="6" applyNumberFormat="1" applyFont="1" applyFill="1" applyBorder="1" applyAlignment="1" applyProtection="1">
      <alignment vertical="center" wrapText="1"/>
    </xf>
    <xf numFmtId="0" fontId="85" fillId="0" borderId="13" xfId="0" applyFont="1" applyBorder="1" applyAlignment="1">
      <alignment horizontal="center"/>
    </xf>
    <xf numFmtId="0" fontId="131" fillId="3" borderId="0" xfId="0" applyFont="1" applyFill="1" applyBorder="1" applyAlignment="1">
      <alignment horizontal="center" vertical="center" wrapText="1"/>
    </xf>
    <xf numFmtId="182" fontId="9" fillId="3" borderId="0" xfId="0" applyNumberFormat="1" applyFont="1" applyFill="1" applyBorder="1" applyProtection="1"/>
    <xf numFmtId="1" fontId="12" fillId="3" borderId="0" xfId="0" applyNumberFormat="1" applyFont="1" applyFill="1" applyBorder="1" applyAlignment="1" applyProtection="1">
      <alignment vertical="center" wrapText="1"/>
    </xf>
    <xf numFmtId="1" fontId="4" fillId="6" borderId="6" xfId="0" applyNumberFormat="1" applyFont="1" applyFill="1" applyBorder="1" applyAlignment="1">
      <alignment horizontal="center" vertical="center"/>
    </xf>
    <xf numFmtId="182" fontId="4" fillId="6" borderId="6" xfId="0" applyNumberFormat="1" applyFont="1" applyFill="1" applyBorder="1" applyAlignment="1">
      <alignment vertical="center"/>
    </xf>
    <xf numFmtId="182" fontId="56" fillId="6" borderId="6" xfId="0" applyNumberFormat="1" applyFont="1" applyFill="1" applyBorder="1" applyAlignment="1">
      <alignment vertical="center"/>
    </xf>
    <xf numFmtId="4" fontId="117" fillId="3" borderId="0" xfId="6" applyNumberFormat="1" applyFont="1" applyFill="1" applyBorder="1" applyAlignment="1" applyProtection="1">
      <alignment horizontal="center" vertical="center" wrapText="1"/>
    </xf>
    <xf numFmtId="4" fontId="8" fillId="3" borderId="1" xfId="6" applyNumberFormat="1" applyFont="1" applyFill="1" applyBorder="1" applyAlignment="1" applyProtection="1">
      <alignment horizontal="center" vertical="center" wrapText="1"/>
    </xf>
    <xf numFmtId="0" fontId="2" fillId="3" borderId="15" xfId="6" applyFont="1" applyFill="1" applyBorder="1" applyAlignment="1">
      <alignment horizontal="center" vertical="center" wrapText="1"/>
    </xf>
    <xf numFmtId="0" fontId="2" fillId="3" borderId="2" xfId="6" applyFont="1" applyFill="1" applyBorder="1" applyAlignment="1">
      <alignment horizontal="center" vertical="center" wrapText="1"/>
    </xf>
    <xf numFmtId="3" fontId="2" fillId="3" borderId="0" xfId="6" applyNumberFormat="1" applyFont="1" applyFill="1" applyBorder="1" applyAlignment="1">
      <alignment horizontal="center" vertical="center" wrapText="1"/>
    </xf>
    <xf numFmtId="4" fontId="2" fillId="3" borderId="3" xfId="6" applyNumberFormat="1" applyFont="1" applyFill="1" applyBorder="1" applyAlignment="1">
      <alignment horizontal="center" vertical="center" wrapText="1"/>
    </xf>
    <xf numFmtId="16" fontId="17" fillId="3" borderId="8" xfId="6" applyNumberFormat="1" applyFont="1" applyFill="1" applyBorder="1" applyAlignment="1">
      <alignment horizontal="left" wrapText="1" indent="2"/>
    </xf>
    <xf numFmtId="16" fontId="17" fillId="3" borderId="2" xfId="6" applyNumberFormat="1" applyFont="1" applyFill="1" applyBorder="1" applyAlignment="1">
      <alignment horizontal="left" wrapText="1" indent="2"/>
    </xf>
    <xf numFmtId="0" fontId="12" fillId="3" borderId="1" xfId="6" applyFont="1" applyFill="1" applyBorder="1" applyAlignment="1">
      <alignment horizontal="center" vertical="center" wrapText="1"/>
    </xf>
    <xf numFmtId="0" fontId="12" fillId="3" borderId="5" xfId="6" applyFont="1" applyFill="1" applyBorder="1" applyAlignment="1">
      <alignment horizontal="center" vertical="center" wrapText="1"/>
    </xf>
    <xf numFmtId="4" fontId="2" fillId="3" borderId="0" xfId="6" applyNumberFormat="1" applyFont="1" applyFill="1" applyBorder="1" applyAlignment="1" applyProtection="1">
      <alignment horizontal="center" vertical="center" wrapText="1"/>
    </xf>
    <xf numFmtId="0" fontId="107" fillId="28" borderId="13" xfId="0" applyFont="1" applyFill="1" applyBorder="1" applyAlignment="1">
      <alignment horizontal="center"/>
    </xf>
    <xf numFmtId="0" fontId="107" fillId="28" borderId="3" xfId="0" applyFont="1" applyFill="1" applyBorder="1" applyAlignment="1">
      <alignment horizontal="center"/>
    </xf>
    <xf numFmtId="14" fontId="5" fillId="3" borderId="14" xfId="6" applyNumberFormat="1" applyFont="1" applyFill="1" applyBorder="1" applyAlignment="1">
      <alignment horizontal="left" vertical="center"/>
    </xf>
    <xf numFmtId="4" fontId="2" fillId="0" borderId="13" xfId="6" applyNumberFormat="1" applyFont="1" applyFill="1" applyBorder="1" applyAlignment="1" applyProtection="1">
      <alignment horizontal="center" vertical="center"/>
      <protection locked="0"/>
    </xf>
    <xf numFmtId="181" fontId="5" fillId="4" borderId="13" xfId="6" applyNumberFormat="1" applyFont="1" applyFill="1" applyBorder="1" applyAlignment="1" applyProtection="1">
      <alignment horizontal="center" vertical="center"/>
    </xf>
    <xf numFmtId="4" fontId="6" fillId="6" borderId="1" xfId="6" applyNumberFormat="1" applyFont="1" applyFill="1" applyBorder="1" applyAlignment="1" applyProtection="1">
      <alignment horizontal="center" vertical="center"/>
    </xf>
    <xf numFmtId="182" fontId="132" fillId="3" borderId="0" xfId="6" applyNumberFormat="1" applyFont="1" applyFill="1" applyBorder="1" applyAlignment="1" applyProtection="1">
      <alignment horizontal="center" vertical="center" wrapText="1"/>
      <protection locked="0"/>
    </xf>
    <xf numFmtId="0" fontId="132" fillId="3" borderId="0" xfId="6" applyFont="1" applyFill="1" applyBorder="1" applyAlignment="1" applyProtection="1">
      <alignment horizontal="center" vertical="center" wrapText="1"/>
      <protection locked="0"/>
    </xf>
    <xf numFmtId="182" fontId="2" fillId="0" borderId="0" xfId="6" applyNumberFormat="1" applyFont="1" applyFill="1" applyBorder="1" applyAlignment="1" applyProtection="1">
      <alignment horizontal="center" vertical="center" wrapText="1"/>
      <protection locked="0"/>
    </xf>
    <xf numFmtId="181" fontId="5" fillId="4" borderId="19" xfId="6" applyNumberFormat="1" applyFont="1" applyFill="1" applyBorder="1" applyAlignment="1" applyProtection="1">
      <alignment horizontal="center" vertical="center"/>
    </xf>
    <xf numFmtId="0" fontId="6" fillId="3" borderId="2" xfId="6" applyFont="1" applyFill="1" applyBorder="1" applyAlignment="1">
      <alignment horizontal="left" vertical="center"/>
    </xf>
    <xf numFmtId="181" fontId="5" fillId="4" borderId="7" xfId="6" applyNumberFormat="1" applyFont="1" applyFill="1" applyBorder="1" applyAlignment="1" applyProtection="1">
      <alignment horizontal="center" vertical="center"/>
    </xf>
    <xf numFmtId="181" fontId="5" fillId="3" borderId="0" xfId="6" applyNumberFormat="1" applyFont="1" applyFill="1" applyBorder="1" applyAlignment="1" applyProtection="1">
      <alignment horizontal="right" vertical="center"/>
      <protection locked="0"/>
    </xf>
    <xf numFmtId="4" fontId="2" fillId="3" borderId="0" xfId="6" applyNumberFormat="1" applyFont="1" applyFill="1" applyBorder="1" applyAlignment="1" applyProtection="1">
      <alignment vertical="center"/>
      <protection locked="0"/>
    </xf>
    <xf numFmtId="4" fontId="80" fillId="0" borderId="0" xfId="0" applyNumberFormat="1" applyFont="1" applyBorder="1" applyProtection="1">
      <protection locked="0"/>
    </xf>
    <xf numFmtId="4" fontId="82" fillId="3" borderId="0" xfId="0" applyNumberFormat="1" applyFont="1" applyFill="1" applyBorder="1" applyProtection="1">
      <protection locked="0"/>
    </xf>
    <xf numFmtId="4" fontId="88" fillId="0" borderId="0" xfId="0" applyNumberFormat="1" applyFont="1" applyBorder="1" applyProtection="1">
      <protection locked="0"/>
    </xf>
    <xf numFmtId="4" fontId="80" fillId="0" borderId="0" xfId="0" applyNumberFormat="1" applyFont="1" applyFill="1" applyBorder="1" applyProtection="1">
      <protection locked="0"/>
    </xf>
    <xf numFmtId="3" fontId="2" fillId="3" borderId="5" xfId="6" applyNumberFormat="1" applyFont="1" applyFill="1" applyBorder="1" applyAlignment="1">
      <alignment horizontal="center" vertical="center" wrapText="1"/>
    </xf>
    <xf numFmtId="181" fontId="5" fillId="4" borderId="7" xfId="6" applyNumberFormat="1" applyFont="1" applyFill="1" applyBorder="1" applyAlignment="1" applyProtection="1">
      <alignment horizontal="right" vertical="center"/>
    </xf>
    <xf numFmtId="0" fontId="92" fillId="3" borderId="0" xfId="6" applyFont="1" applyFill="1" applyBorder="1" applyAlignment="1">
      <alignment vertical="center" wrapText="1"/>
    </xf>
    <xf numFmtId="0" fontId="89" fillId="0" borderId="0" xfId="6" applyFont="1" applyFill="1" applyBorder="1" applyAlignment="1">
      <alignment horizontal="center" vertical="center"/>
    </xf>
    <xf numFmtId="4" fontId="83" fillId="6" borderId="28" xfId="0" applyNumberFormat="1" applyFont="1" applyFill="1" applyBorder="1"/>
    <xf numFmtId="4" fontId="85" fillId="0" borderId="0" xfId="0" applyNumberFormat="1" applyFont="1" applyBorder="1" applyProtection="1">
      <protection locked="0"/>
    </xf>
    <xf numFmtId="4" fontId="85" fillId="6" borderId="3" xfId="0" applyNumberFormat="1" applyFont="1" applyFill="1" applyBorder="1"/>
    <xf numFmtId="4" fontId="85" fillId="0" borderId="3" xfId="0" applyNumberFormat="1" applyFont="1" applyBorder="1" applyProtection="1">
      <protection locked="0"/>
    </xf>
    <xf numFmtId="4" fontId="85" fillId="6" borderId="3" xfId="0" applyNumberFormat="1" applyFont="1" applyFill="1" applyBorder="1" applyAlignment="1">
      <alignment horizontal="center"/>
    </xf>
    <xf numFmtId="4" fontId="85" fillId="0" borderId="4" xfId="0" applyNumberFormat="1" applyFont="1" applyBorder="1" applyProtection="1">
      <protection locked="0"/>
    </xf>
    <xf numFmtId="180" fontId="117" fillId="25" borderId="56" xfId="6" applyNumberFormat="1" applyFont="1" applyFill="1" applyBorder="1" applyAlignment="1" applyProtection="1">
      <alignment horizontal="center" vertical="center" wrapText="1"/>
    </xf>
    <xf numFmtId="4" fontId="80" fillId="0" borderId="0" xfId="0" applyNumberFormat="1" applyFont="1" applyAlignment="1" applyProtection="1">
      <alignment horizontal="center"/>
      <protection locked="0"/>
    </xf>
    <xf numFmtId="4" fontId="2" fillId="3" borderId="61" xfId="6" applyNumberFormat="1" applyFont="1" applyFill="1" applyBorder="1" applyAlignment="1" applyProtection="1">
      <alignment horizontal="center" vertical="center" wrapText="1"/>
    </xf>
    <xf numFmtId="0" fontId="2" fillId="3" borderId="17" xfId="6" applyFont="1" applyFill="1" applyBorder="1" applyAlignment="1">
      <alignment horizontal="center" vertical="center"/>
    </xf>
    <xf numFmtId="0" fontId="2" fillId="0" borderId="15" xfId="6" applyFont="1" applyFill="1" applyBorder="1" applyAlignment="1">
      <alignment horizontal="center" vertical="center" wrapText="1"/>
    </xf>
    <xf numFmtId="4" fontId="2" fillId="3" borderId="7" xfId="6" applyNumberFormat="1" applyFont="1" applyFill="1" applyBorder="1" applyAlignment="1" applyProtection="1">
      <alignment horizontal="center" vertical="center" wrapText="1"/>
      <protection hidden="1"/>
    </xf>
    <xf numFmtId="4" fontId="8" fillId="2" borderId="20" xfId="6" applyNumberFormat="1" applyFont="1" applyFill="1" applyBorder="1" applyAlignment="1" applyProtection="1">
      <alignment horizontal="center" vertical="center"/>
      <protection locked="0"/>
    </xf>
    <xf numFmtId="4" fontId="8" fillId="2" borderId="23" xfId="6" applyNumberFormat="1" applyFont="1" applyFill="1" applyBorder="1" applyAlignment="1" applyProtection="1">
      <alignment horizontal="center" vertical="center"/>
      <protection locked="0"/>
    </xf>
    <xf numFmtId="4" fontId="8" fillId="2" borderId="40" xfId="6" applyNumberFormat="1" applyFont="1" applyFill="1" applyBorder="1" applyAlignment="1" applyProtection="1">
      <alignment horizontal="center" vertical="center"/>
      <protection locked="0"/>
    </xf>
    <xf numFmtId="4" fontId="6" fillId="17" borderId="11" xfId="6" applyNumberFormat="1" applyFont="1" applyFill="1" applyBorder="1" applyAlignment="1">
      <alignment horizontal="center" vertical="center"/>
    </xf>
    <xf numFmtId="0" fontId="86" fillId="10" borderId="0" xfId="0" applyFont="1" applyFill="1" applyBorder="1" applyAlignment="1">
      <alignment horizontal="left" wrapText="1" indent="2"/>
    </xf>
    <xf numFmtId="0" fontId="85" fillId="3" borderId="0" xfId="0" applyFont="1" applyFill="1" applyBorder="1" applyAlignment="1">
      <alignment horizontal="center"/>
    </xf>
    <xf numFmtId="182" fontId="9" fillId="0" borderId="0" xfId="0" applyNumberFormat="1" applyFont="1" applyFill="1" applyBorder="1" applyProtection="1">
      <protection locked="0"/>
    </xf>
    <xf numFmtId="182" fontId="11" fillId="0" borderId="0" xfId="0" applyNumberFormat="1" applyFont="1" applyFill="1" applyBorder="1" applyProtection="1">
      <protection locked="0"/>
    </xf>
    <xf numFmtId="182" fontId="9" fillId="6" borderId="0" xfId="0" applyNumberFormat="1" applyFont="1" applyFill="1" applyBorder="1" applyProtection="1"/>
    <xf numFmtId="0" fontId="86" fillId="3" borderId="0" xfId="0" applyFont="1" applyFill="1" applyBorder="1" applyAlignment="1">
      <alignment horizontal="left" wrapText="1"/>
    </xf>
    <xf numFmtId="0" fontId="86" fillId="3" borderId="0" xfId="0" applyFont="1" applyFill="1" applyBorder="1" applyAlignment="1">
      <alignment horizontal="left" wrapText="1" indent="2"/>
    </xf>
    <xf numFmtId="182" fontId="9" fillId="3" borderId="0" xfId="0" applyNumberFormat="1" applyFont="1" applyFill="1" applyBorder="1" applyProtection="1">
      <protection locked="0"/>
    </xf>
    <xf numFmtId="182" fontId="11" fillId="3" borderId="0" xfId="0" applyNumberFormat="1" applyFont="1" applyFill="1" applyBorder="1" applyProtection="1">
      <protection locked="0"/>
    </xf>
    <xf numFmtId="4" fontId="97" fillId="8" borderId="0" xfId="0" applyNumberFormat="1" applyFont="1" applyFill="1" applyBorder="1" applyAlignment="1" applyProtection="1">
      <alignment vertical="center"/>
    </xf>
    <xf numFmtId="0" fontId="133" fillId="3" borderId="0" xfId="0" applyNumberFormat="1" applyFont="1" applyFill="1" applyBorder="1" applyAlignment="1" applyProtection="1">
      <alignment horizontal="center" vertical="center" wrapText="1"/>
      <protection hidden="1"/>
    </xf>
    <xf numFmtId="0" fontId="2" fillId="3" borderId="2" xfId="6" applyFont="1" applyFill="1" applyBorder="1" applyAlignment="1">
      <alignment horizontal="center" vertical="center"/>
    </xf>
    <xf numFmtId="0" fontId="2" fillId="3" borderId="8" xfId="6" applyFont="1" applyFill="1" applyBorder="1" applyAlignment="1">
      <alignment horizontal="center" vertical="center"/>
    </xf>
    <xf numFmtId="4" fontId="6" fillId="17" borderId="6" xfId="6" applyNumberFormat="1" applyFont="1" applyFill="1" applyBorder="1" applyAlignment="1">
      <alignment horizontal="center" vertical="center"/>
    </xf>
    <xf numFmtId="4" fontId="117" fillId="3" borderId="6" xfId="6" applyNumberFormat="1" applyFont="1" applyFill="1" applyBorder="1" applyAlignment="1" applyProtection="1">
      <alignment horizontal="center" vertical="center"/>
      <protection locked="0"/>
    </xf>
    <xf numFmtId="4" fontId="117" fillId="3" borderId="7" xfId="6" applyNumberFormat="1" applyFont="1" applyFill="1" applyBorder="1" applyAlignment="1" applyProtection="1">
      <alignment horizontal="center" vertical="center"/>
      <protection locked="0"/>
    </xf>
    <xf numFmtId="49" fontId="17" fillId="3" borderId="11" xfId="6" applyNumberFormat="1" applyFont="1" applyFill="1" applyBorder="1" applyAlignment="1" applyProtection="1">
      <alignment horizontal="center" vertical="center" wrapText="1" readingOrder="1"/>
    </xf>
    <xf numFmtId="0" fontId="17" fillId="3" borderId="11" xfId="6" applyFont="1" applyFill="1" applyBorder="1" applyAlignment="1" applyProtection="1">
      <alignment horizontal="center" vertical="center" wrapText="1"/>
    </xf>
    <xf numFmtId="0" fontId="17" fillId="3" borderId="12" xfId="6" applyFont="1" applyFill="1" applyBorder="1" applyAlignment="1" applyProtection="1">
      <alignment horizontal="center" vertical="center" wrapText="1"/>
    </xf>
    <xf numFmtId="4" fontId="81" fillId="3" borderId="0" xfId="0" applyNumberFormat="1" applyFont="1" applyFill="1" applyBorder="1" applyProtection="1"/>
    <xf numFmtId="0" fontId="80" fillId="0" borderId="0" xfId="0" applyFont="1" applyAlignment="1">
      <alignment horizontal="right"/>
    </xf>
    <xf numFmtId="4" fontId="81" fillId="3" borderId="0" xfId="0" applyNumberFormat="1" applyFont="1" applyFill="1" applyBorder="1" applyAlignment="1" applyProtection="1">
      <alignment horizontal="left"/>
    </xf>
    <xf numFmtId="0" fontId="95" fillId="0" borderId="0" xfId="0" applyFont="1" applyBorder="1" applyAlignment="1">
      <alignment horizontal="center" vertical="center" wrapText="1"/>
    </xf>
    <xf numFmtId="182" fontId="9" fillId="6" borderId="11" xfId="0" applyNumberFormat="1" applyFont="1" applyFill="1" applyBorder="1" applyProtection="1"/>
    <xf numFmtId="182" fontId="9" fillId="6" borderId="12" xfId="0" applyNumberFormat="1" applyFont="1" applyFill="1" applyBorder="1" applyProtection="1"/>
    <xf numFmtId="182" fontId="9" fillId="6" borderId="6" xfId="0" applyNumberFormat="1" applyFont="1" applyFill="1" applyBorder="1"/>
    <xf numFmtId="182" fontId="11" fillId="6" borderId="6" xfId="0" applyNumberFormat="1" applyFont="1" applyFill="1" applyBorder="1"/>
    <xf numFmtId="182" fontId="9" fillId="6" borderId="6" xfId="0" applyNumberFormat="1" applyFont="1" applyFill="1" applyBorder="1" applyProtection="1"/>
    <xf numFmtId="182" fontId="9" fillId="6" borderId="7" xfId="0" applyNumberFormat="1" applyFont="1" applyFill="1" applyBorder="1" applyProtection="1"/>
    <xf numFmtId="0" fontId="83" fillId="0" borderId="20" xfId="0" applyFont="1" applyFill="1" applyBorder="1" applyAlignment="1">
      <alignment horizontal="center"/>
    </xf>
    <xf numFmtId="182" fontId="4" fillId="0" borderId="20" xfId="0" applyNumberFormat="1" applyFont="1" applyFill="1" applyBorder="1" applyProtection="1">
      <protection locked="0"/>
    </xf>
    <xf numFmtId="182" fontId="56" fillId="0" borderId="20" xfId="0" applyNumberFormat="1" applyFont="1" applyFill="1" applyBorder="1" applyProtection="1">
      <protection locked="0"/>
    </xf>
    <xf numFmtId="182" fontId="9" fillId="6" borderId="3" xfId="0" applyNumberFormat="1" applyFont="1" applyFill="1" applyBorder="1" applyProtection="1"/>
    <xf numFmtId="182" fontId="9" fillId="6" borderId="4" xfId="0" applyNumberFormat="1" applyFont="1" applyFill="1" applyBorder="1" applyProtection="1"/>
    <xf numFmtId="0" fontId="83" fillId="0" borderId="11" xfId="0" applyFont="1" applyFill="1" applyBorder="1" applyAlignment="1">
      <alignment horizontal="center"/>
    </xf>
    <xf numFmtId="182" fontId="4" fillId="0" borderId="11" xfId="0" applyNumberFormat="1" applyFont="1" applyFill="1" applyBorder="1"/>
    <xf numFmtId="182" fontId="56" fillId="0" borderId="11" xfId="0" applyNumberFormat="1" applyFont="1" applyFill="1" applyBorder="1"/>
    <xf numFmtId="0" fontId="54" fillId="0" borderId="4" xfId="0" applyFont="1" applyBorder="1" applyAlignment="1">
      <alignment horizontal="center" vertical="center" wrapText="1"/>
    </xf>
    <xf numFmtId="0" fontId="11" fillId="0" borderId="5" xfId="0" applyFont="1" applyBorder="1" applyAlignment="1">
      <alignment horizontal="center"/>
    </xf>
    <xf numFmtId="2" fontId="56" fillId="0" borderId="5" xfId="0" applyNumberFormat="1" applyFont="1" applyFill="1" applyBorder="1" applyProtection="1">
      <protection locked="0"/>
    </xf>
    <xf numFmtId="0" fontId="86" fillId="3" borderId="1" xfId="0" applyFont="1" applyFill="1" applyBorder="1" applyAlignment="1">
      <alignment wrapText="1"/>
    </xf>
    <xf numFmtId="4" fontId="2" fillId="3" borderId="1" xfId="6" applyNumberFormat="1" applyFont="1" applyFill="1" applyBorder="1" applyAlignment="1" applyProtection="1">
      <alignment horizontal="center" vertical="center" wrapText="1"/>
    </xf>
    <xf numFmtId="4" fontId="2" fillId="3" borderId="0" xfId="6" applyNumberFormat="1" applyFont="1" applyFill="1" applyBorder="1" applyAlignment="1" applyProtection="1">
      <alignment horizontal="center" vertical="center" wrapText="1"/>
    </xf>
    <xf numFmtId="49" fontId="2" fillId="3" borderId="15" xfId="6" applyNumberFormat="1" applyFont="1" applyFill="1" applyBorder="1" applyAlignment="1">
      <alignment horizontal="center" vertical="center"/>
    </xf>
    <xf numFmtId="49" fontId="2" fillId="3" borderId="2" xfId="6" applyNumberFormat="1" applyFont="1" applyFill="1" applyBorder="1" applyAlignment="1">
      <alignment horizontal="center" vertical="center"/>
    </xf>
    <xf numFmtId="4" fontId="2" fillId="3" borderId="0" xfId="6" applyNumberFormat="1" applyFont="1" applyFill="1" applyBorder="1" applyAlignment="1">
      <alignment horizontal="center" vertical="center"/>
    </xf>
    <xf numFmtId="4" fontId="2" fillId="3" borderId="3" xfId="6" applyNumberFormat="1" applyFont="1" applyFill="1" applyBorder="1" applyAlignment="1">
      <alignment horizontal="center" vertical="center" wrapText="1"/>
    </xf>
    <xf numFmtId="0" fontId="101" fillId="9" borderId="0" xfId="0" applyFont="1" applyFill="1" applyAlignment="1"/>
    <xf numFmtId="0" fontId="98" fillId="0" borderId="0" xfId="0" applyFont="1" applyAlignment="1"/>
    <xf numFmtId="0" fontId="98" fillId="0" borderId="0" xfId="0" applyFont="1" applyFill="1" applyAlignment="1"/>
    <xf numFmtId="0" fontId="98" fillId="32" borderId="0" xfId="0" applyFont="1" applyFill="1" applyAlignment="1"/>
    <xf numFmtId="0" fontId="101" fillId="32" borderId="0" xfId="0" applyFont="1" applyFill="1" applyAlignment="1"/>
    <xf numFmtId="0" fontId="77" fillId="32" borderId="0" xfId="0" applyFont="1" applyFill="1" applyAlignment="1"/>
    <xf numFmtId="0" fontId="84" fillId="13" borderId="6" xfId="0" applyNumberFormat="1" applyFont="1" applyFill="1" applyBorder="1" applyAlignment="1">
      <alignment horizontal="center" vertical="center"/>
    </xf>
    <xf numFmtId="0" fontId="84" fillId="13" borderId="23" xfId="0" applyNumberFormat="1" applyFont="1" applyFill="1" applyBorder="1" applyAlignment="1">
      <alignment horizontal="center" vertical="center"/>
    </xf>
    <xf numFmtId="0" fontId="98" fillId="0" borderId="1" xfId="0" applyFont="1" applyBorder="1" applyAlignment="1">
      <alignment horizontal="left"/>
    </xf>
    <xf numFmtId="0" fontId="85" fillId="3" borderId="0" xfId="6" applyFont="1" applyFill="1" applyBorder="1" applyAlignment="1" applyProtection="1">
      <alignment horizontal="center" vertical="center"/>
    </xf>
    <xf numFmtId="4" fontId="2" fillId="0" borderId="0" xfId="6" applyNumberFormat="1" applyFont="1" applyFill="1" applyBorder="1" applyAlignment="1">
      <alignment horizontal="center" vertical="center" wrapText="1"/>
    </xf>
    <xf numFmtId="0" fontId="85" fillId="3" borderId="0" xfId="6" applyFont="1" applyFill="1" applyBorder="1" applyAlignment="1" applyProtection="1">
      <alignment vertical="center" wrapText="1"/>
    </xf>
    <xf numFmtId="4" fontId="85" fillId="3" borderId="0" xfId="6" applyNumberFormat="1" applyFont="1" applyFill="1" applyBorder="1" applyAlignment="1">
      <alignment horizontal="center" vertical="center" wrapText="1"/>
    </xf>
    <xf numFmtId="4" fontId="85" fillId="3" borderId="0" xfId="6" applyNumberFormat="1" applyFont="1" applyFill="1" applyBorder="1" applyAlignment="1">
      <alignment horizontal="center" vertical="center"/>
    </xf>
    <xf numFmtId="182" fontId="85" fillId="3" borderId="0" xfId="6" applyNumberFormat="1" applyFont="1" applyFill="1" applyBorder="1" applyAlignment="1" applyProtection="1">
      <alignment horizontal="center" vertical="center" wrapText="1"/>
      <protection locked="0"/>
    </xf>
    <xf numFmtId="4" fontId="85" fillId="0" borderId="0" xfId="6" applyNumberFormat="1" applyFont="1" applyFill="1" applyBorder="1" applyAlignment="1">
      <alignment horizontal="center" vertical="center" wrapText="1"/>
    </xf>
    <xf numFmtId="4" fontId="85" fillId="3" borderId="0" xfId="6" applyNumberFormat="1" applyFont="1" applyFill="1" applyBorder="1" applyAlignment="1" applyProtection="1">
      <alignment horizontal="center" vertical="center" wrapText="1"/>
    </xf>
    <xf numFmtId="182" fontId="85" fillId="3" borderId="0" xfId="6" applyNumberFormat="1" applyFont="1" applyFill="1" applyBorder="1" applyAlignment="1" applyProtection="1">
      <alignment horizontal="center" vertical="center" wrapText="1"/>
    </xf>
    <xf numFmtId="4" fontId="86" fillId="0" borderId="0" xfId="6" applyNumberFormat="1" applyFont="1" applyFill="1" applyBorder="1" applyAlignment="1" applyProtection="1">
      <alignment horizontal="center" vertical="center" wrapText="1"/>
    </xf>
    <xf numFmtId="0" fontId="85" fillId="3" borderId="0" xfId="6" applyFont="1" applyFill="1" applyBorder="1" applyAlignment="1" applyProtection="1">
      <alignment vertical="center"/>
    </xf>
    <xf numFmtId="4" fontId="5" fillId="3" borderId="0" xfId="6" applyNumberFormat="1" applyFont="1" applyFill="1" applyBorder="1" applyAlignment="1" applyProtection="1">
      <alignment horizontal="center" vertical="center" wrapText="1"/>
    </xf>
    <xf numFmtId="182" fontId="5" fillId="0" borderId="0" xfId="6" applyNumberFormat="1" applyFont="1" applyFill="1" applyBorder="1" applyAlignment="1" applyProtection="1">
      <alignment horizontal="center" vertical="center" wrapText="1"/>
    </xf>
    <xf numFmtId="182" fontId="2" fillId="0" borderId="0" xfId="6" applyNumberFormat="1" applyFont="1" applyFill="1" applyBorder="1" applyAlignment="1" applyProtection="1">
      <alignment horizontal="right" vertical="center" wrapText="1" indent="1"/>
    </xf>
    <xf numFmtId="182" fontId="5" fillId="0" borderId="0" xfId="6" applyNumberFormat="1" applyFont="1" applyFill="1" applyBorder="1" applyAlignment="1" applyProtection="1">
      <alignment horizontal="right" vertical="center" wrapText="1" indent="1"/>
    </xf>
    <xf numFmtId="182" fontId="5" fillId="3" borderId="0" xfId="6" applyNumberFormat="1" applyFont="1" applyFill="1" applyBorder="1" applyAlignment="1" applyProtection="1">
      <alignment horizontal="right" vertical="center" indent="1"/>
    </xf>
    <xf numFmtId="4" fontId="2" fillId="3" borderId="25" xfId="6" applyNumberFormat="1" applyFont="1" applyFill="1" applyBorder="1" applyAlignment="1" applyProtection="1">
      <alignment horizontal="center" vertical="center" wrapText="1"/>
    </xf>
    <xf numFmtId="181" fontId="112" fillId="4" borderId="5" xfId="6" applyNumberFormat="1" applyFont="1" applyFill="1" applyBorder="1" applyAlignment="1" applyProtection="1">
      <alignment horizontal="center" vertical="center"/>
    </xf>
    <xf numFmtId="181" fontId="112" fillId="4" borderId="7" xfId="6" applyNumberFormat="1" applyFont="1" applyFill="1" applyBorder="1" applyAlignment="1" applyProtection="1">
      <alignment horizontal="center" vertical="center"/>
    </xf>
    <xf numFmtId="181" fontId="5" fillId="6" borderId="4" xfId="6" applyNumberFormat="1" applyFont="1" applyFill="1" applyBorder="1" applyAlignment="1" applyProtection="1">
      <alignment horizontal="center" vertical="center"/>
    </xf>
    <xf numFmtId="180" fontId="134" fillId="8" borderId="0" xfId="0" applyNumberFormat="1" applyFont="1" applyFill="1" applyBorder="1" applyAlignment="1" applyProtection="1">
      <alignment horizontal="center"/>
    </xf>
    <xf numFmtId="180" fontId="134" fillId="19" borderId="0" xfId="0" applyNumberFormat="1" applyFont="1" applyFill="1" applyBorder="1" applyAlignment="1" applyProtection="1">
      <alignment horizontal="center"/>
    </xf>
    <xf numFmtId="180" fontId="135" fillId="3" borderId="0" xfId="0" applyNumberFormat="1" applyFont="1" applyFill="1" applyBorder="1" applyAlignment="1">
      <alignment horizontal="center"/>
    </xf>
    <xf numFmtId="0" fontId="120" fillId="0" borderId="30" xfId="0" applyFont="1" applyBorder="1"/>
    <xf numFmtId="182" fontId="9" fillId="3" borderId="10" xfId="0" applyNumberFormat="1" applyFont="1" applyFill="1" applyBorder="1" applyProtection="1"/>
    <xf numFmtId="4" fontId="2" fillId="3" borderId="0" xfId="6" applyNumberFormat="1" applyFont="1" applyFill="1" applyBorder="1" applyAlignment="1">
      <alignment vertical="center" wrapText="1"/>
    </xf>
    <xf numFmtId="4" fontId="2" fillId="0" borderId="0" xfId="6" applyNumberFormat="1" applyFont="1" applyFill="1" applyBorder="1" applyAlignment="1">
      <alignment vertical="center" wrapText="1"/>
    </xf>
    <xf numFmtId="182" fontId="2" fillId="3" borderId="0" xfId="6" applyNumberFormat="1" applyFont="1" applyFill="1" applyBorder="1" applyAlignment="1" applyProtection="1">
      <alignment horizontal="center" vertical="center" wrapText="1"/>
      <protection locked="0"/>
    </xf>
    <xf numFmtId="0" fontId="2" fillId="0" borderId="3" xfId="6" applyFont="1" applyFill="1" applyBorder="1" applyAlignment="1">
      <alignment horizontal="center" vertical="center" wrapText="1"/>
    </xf>
    <xf numFmtId="0" fontId="2" fillId="0" borderId="30" xfId="6" applyFont="1" applyFill="1" applyBorder="1" applyAlignment="1">
      <alignment horizontal="center" vertical="center" wrapText="1"/>
    </xf>
    <xf numFmtId="4" fontId="2" fillId="3" borderId="24" xfId="6" applyNumberFormat="1" applyFont="1" applyFill="1" applyBorder="1" applyAlignment="1" applyProtection="1">
      <alignment horizontal="center" vertical="center" wrapText="1"/>
    </xf>
    <xf numFmtId="4" fontId="2" fillId="3" borderId="31" xfId="6" applyNumberFormat="1" applyFont="1" applyFill="1" applyBorder="1" applyAlignment="1" applyProtection="1">
      <alignment horizontal="center" vertical="center" wrapText="1"/>
    </xf>
    <xf numFmtId="4" fontId="2" fillId="3" borderId="6" xfId="6" applyNumberFormat="1" applyFont="1" applyFill="1" applyBorder="1" applyAlignment="1" applyProtection="1">
      <alignment horizontal="center" vertical="center" wrapText="1"/>
    </xf>
    <xf numFmtId="4" fontId="2" fillId="3" borderId="13" xfId="6" applyNumberFormat="1" applyFont="1" applyFill="1" applyBorder="1" applyAlignment="1" applyProtection="1">
      <alignment horizontal="center" vertical="center" wrapText="1"/>
    </xf>
    <xf numFmtId="4" fontId="117" fillId="25" borderId="6" xfId="6" applyNumberFormat="1" applyFont="1" applyFill="1" applyBorder="1" applyAlignment="1" applyProtection="1">
      <alignment horizontal="center" vertical="center" wrapText="1"/>
    </xf>
    <xf numFmtId="4" fontId="2" fillId="3" borderId="59" xfId="6" applyNumberFormat="1" applyFont="1" applyFill="1" applyBorder="1" applyAlignment="1" applyProtection="1">
      <alignment horizontal="center" vertical="center" wrapText="1"/>
    </xf>
    <xf numFmtId="4" fontId="2" fillId="3" borderId="40" xfId="6" applyNumberFormat="1" applyFont="1" applyFill="1" applyBorder="1" applyAlignment="1" applyProtection="1">
      <alignment horizontal="center" vertical="center" wrapText="1"/>
    </xf>
    <xf numFmtId="4" fontId="2" fillId="3" borderId="0" xfId="6" applyNumberFormat="1" applyFont="1" applyFill="1" applyBorder="1" applyAlignment="1" applyProtection="1">
      <alignment horizontal="center" vertical="center" wrapText="1"/>
    </xf>
    <xf numFmtId="4" fontId="85" fillId="3" borderId="4" xfId="0" applyNumberFormat="1" applyFont="1" applyFill="1" applyBorder="1" applyAlignment="1" applyProtection="1">
      <alignment horizontal="center" vertical="center" wrapText="1"/>
    </xf>
    <xf numFmtId="4" fontId="85" fillId="3" borderId="5" xfId="0" applyNumberFormat="1" applyFont="1" applyFill="1" applyBorder="1" applyAlignment="1" applyProtection="1">
      <alignment horizontal="center" vertical="center" wrapText="1"/>
    </xf>
    <xf numFmtId="0" fontId="17" fillId="3" borderId="1" xfId="6" applyFont="1" applyFill="1" applyBorder="1" applyAlignment="1" applyProtection="1">
      <alignment horizontal="center" vertical="center"/>
    </xf>
    <xf numFmtId="0" fontId="35" fillId="3" borderId="3" xfId="6" applyFont="1" applyFill="1" applyBorder="1" applyAlignment="1" applyProtection="1">
      <alignment horizontal="center" vertical="center"/>
    </xf>
    <xf numFmtId="0" fontId="48" fillId="3" borderId="1" xfId="6" applyFont="1" applyFill="1" applyBorder="1" applyAlignment="1" applyProtection="1">
      <alignment horizontal="center" vertical="center" wrapText="1"/>
    </xf>
    <xf numFmtId="0" fontId="17" fillId="3" borderId="1" xfId="6" applyFont="1" applyFill="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17" fillId="3" borderId="23" xfId="6" applyFont="1" applyFill="1" applyBorder="1" applyAlignment="1" applyProtection="1">
      <alignment horizontal="center" vertical="center" wrapText="1"/>
    </xf>
    <xf numFmtId="180" fontId="0" fillId="0" borderId="0" xfId="0" applyNumberFormat="1" applyProtection="1"/>
    <xf numFmtId="4" fontId="0" fillId="0" borderId="0" xfId="0" applyNumberFormat="1" applyProtection="1"/>
    <xf numFmtId="0" fontId="35" fillId="3" borderId="3" xfId="6" applyFont="1" applyFill="1" applyBorder="1" applyAlignment="1" applyProtection="1">
      <alignment horizontal="center" vertical="center" wrapText="1"/>
    </xf>
    <xf numFmtId="0" fontId="35" fillId="3" borderId="4" xfId="6" applyFont="1" applyFill="1" applyBorder="1" applyAlignment="1" applyProtection="1">
      <alignment horizontal="center" vertical="center" wrapText="1"/>
    </xf>
    <xf numFmtId="0" fontId="62" fillId="0" borderId="0" xfId="6" applyFont="1" applyFill="1" applyBorder="1" applyAlignment="1" applyProtection="1">
      <alignment horizontal="center" wrapText="1"/>
    </xf>
    <xf numFmtId="180" fontId="17" fillId="8" borderId="5" xfId="6" applyNumberFormat="1" applyFont="1" applyFill="1" applyBorder="1" applyAlignment="1" applyProtection="1">
      <alignment horizontal="center" vertical="center"/>
    </xf>
    <xf numFmtId="180" fontId="48" fillId="3" borderId="0" xfId="6" applyNumberFormat="1" applyFont="1" applyFill="1" applyBorder="1" applyAlignment="1" applyProtection="1">
      <alignment vertical="center"/>
    </xf>
    <xf numFmtId="180" fontId="17" fillId="7" borderId="5" xfId="6" applyNumberFormat="1" applyFont="1" applyFill="1" applyBorder="1" applyAlignment="1" applyProtection="1">
      <alignment horizontal="center" vertical="center"/>
    </xf>
    <xf numFmtId="180" fontId="17" fillId="3" borderId="0" xfId="6" applyNumberFormat="1" applyFont="1" applyFill="1" applyBorder="1" applyAlignment="1" applyProtection="1">
      <alignment vertical="center"/>
    </xf>
    <xf numFmtId="180" fontId="17" fillId="3" borderId="6" xfId="6" applyNumberFormat="1" applyFont="1" applyFill="1" applyBorder="1" applyAlignment="1" applyProtection="1">
      <alignment horizontal="center" vertical="center"/>
    </xf>
    <xf numFmtId="180" fontId="17" fillId="7" borderId="6" xfId="6" applyNumberFormat="1" applyFont="1" applyFill="1" applyBorder="1" applyAlignment="1" applyProtection="1">
      <alignment horizontal="center" vertical="center"/>
    </xf>
    <xf numFmtId="180" fontId="17" fillId="7" borderId="7" xfId="6" applyNumberFormat="1" applyFont="1" applyFill="1" applyBorder="1" applyAlignment="1" applyProtection="1">
      <alignment horizontal="center" vertical="center"/>
    </xf>
    <xf numFmtId="0" fontId="80" fillId="0" borderId="0" xfId="0" applyFont="1" applyAlignment="1" applyProtection="1">
      <alignment wrapText="1"/>
    </xf>
    <xf numFmtId="0" fontId="80" fillId="0" borderId="1" xfId="0" applyFont="1" applyBorder="1" applyAlignment="1" applyProtection="1">
      <alignment wrapText="1"/>
    </xf>
    <xf numFmtId="0" fontId="85" fillId="3" borderId="1" xfId="0" applyFont="1" applyFill="1" applyBorder="1" applyAlignment="1" applyProtection="1">
      <alignment horizontal="center" wrapText="1"/>
    </xf>
    <xf numFmtId="0" fontId="85" fillId="0" borderId="1" xfId="0" applyFont="1" applyBorder="1" applyAlignment="1" applyProtection="1">
      <alignment horizontal="center" wrapText="1"/>
    </xf>
    <xf numFmtId="0" fontId="80" fillId="3" borderId="1" xfId="0" applyFont="1" applyFill="1" applyBorder="1" applyAlignment="1" applyProtection="1">
      <alignment wrapText="1"/>
    </xf>
    <xf numFmtId="0" fontId="85" fillId="0" borderId="0" xfId="0" applyFont="1" applyBorder="1" applyAlignment="1" applyProtection="1">
      <alignment wrapText="1"/>
    </xf>
    <xf numFmtId="0" fontId="83" fillId="0" borderId="0" xfId="0" applyFont="1" applyBorder="1" applyAlignment="1" applyProtection="1">
      <alignment horizontal="right" wrapText="1"/>
    </xf>
    <xf numFmtId="0" fontId="103" fillId="0" borderId="0" xfId="0" applyFont="1" applyBorder="1" applyAlignment="1" applyProtection="1">
      <alignment wrapText="1"/>
    </xf>
    <xf numFmtId="0" fontId="80" fillId="0" borderId="0" xfId="0" applyFont="1" applyBorder="1" applyAlignment="1" applyProtection="1">
      <alignment wrapText="1"/>
    </xf>
    <xf numFmtId="0" fontId="0" fillId="0" borderId="0" xfId="0" applyBorder="1" applyAlignment="1" applyProtection="1">
      <alignment wrapText="1"/>
    </xf>
    <xf numFmtId="0" fontId="81" fillId="0" borderId="15" xfId="0" applyFont="1" applyBorder="1" applyAlignment="1" applyProtection="1">
      <alignment vertical="center" wrapText="1"/>
    </xf>
    <xf numFmtId="0" fontId="80" fillId="0" borderId="3" xfId="0" applyFont="1" applyBorder="1" applyAlignment="1" applyProtection="1">
      <alignment horizontal="center" vertical="center" wrapText="1"/>
    </xf>
    <xf numFmtId="0" fontId="85" fillId="3" borderId="3" xfId="0" applyFont="1" applyFill="1" applyBorder="1" applyAlignment="1" applyProtection="1">
      <alignment horizontal="center" vertical="center" wrapText="1"/>
    </xf>
    <xf numFmtId="0" fontId="85" fillId="0" borderId="3" xfId="0" applyFont="1" applyBorder="1" applyAlignment="1" applyProtection="1">
      <alignment horizontal="center" vertical="center" wrapText="1"/>
    </xf>
    <xf numFmtId="0" fontId="81" fillId="3" borderId="4" xfId="0" applyNumberFormat="1" applyFont="1" applyFill="1" applyBorder="1" applyAlignment="1" applyProtection="1">
      <alignment horizontal="center" vertical="center" wrapText="1"/>
    </xf>
    <xf numFmtId="0" fontId="81" fillId="0" borderId="14" xfId="0" applyFont="1" applyBorder="1" applyAlignment="1" applyProtection="1">
      <alignment vertical="center" wrapText="1"/>
    </xf>
    <xf numFmtId="0" fontId="85" fillId="0" borderId="13" xfId="0" applyFont="1" applyBorder="1" applyAlignment="1" applyProtection="1">
      <alignment horizontal="left" vertical="center" wrapText="1"/>
    </xf>
    <xf numFmtId="0" fontId="85" fillId="3" borderId="13" xfId="0" applyFont="1" applyFill="1" applyBorder="1" applyAlignment="1" applyProtection="1">
      <alignment horizontal="center" vertical="center" wrapText="1"/>
    </xf>
    <xf numFmtId="0" fontId="85" fillId="0" borderId="13" xfId="0" applyFont="1" applyBorder="1" applyAlignment="1" applyProtection="1">
      <alignment horizontal="center" vertical="center" wrapText="1"/>
    </xf>
    <xf numFmtId="0" fontId="117" fillId="25" borderId="1" xfId="0" applyFont="1" applyFill="1" applyBorder="1" applyAlignment="1" applyProtection="1">
      <alignment horizontal="center" vertical="center" wrapText="1"/>
    </xf>
    <xf numFmtId="0" fontId="85" fillId="0" borderId="1" xfId="0" applyFont="1" applyBorder="1" applyAlignment="1" applyProtection="1">
      <alignment horizontal="center" vertical="center" wrapText="1"/>
    </xf>
    <xf numFmtId="180" fontId="117" fillId="25" borderId="1" xfId="0" applyNumberFormat="1" applyFont="1" applyFill="1" applyBorder="1" applyAlignment="1" applyProtection="1">
      <alignment horizontal="center" vertical="center" wrapText="1"/>
    </xf>
    <xf numFmtId="180" fontId="85" fillId="0" borderId="1" xfId="0" applyNumberFormat="1" applyFont="1" applyBorder="1" applyAlignment="1" applyProtection="1">
      <alignment horizontal="center" vertical="center" wrapText="1"/>
    </xf>
    <xf numFmtId="0" fontId="81" fillId="0" borderId="36" xfId="0" applyFont="1" applyBorder="1" applyAlignment="1" applyProtection="1">
      <alignment horizontal="center" vertical="center" wrapText="1"/>
    </xf>
    <xf numFmtId="0" fontId="85" fillId="0" borderId="20" xfId="0" applyFont="1" applyBorder="1" applyAlignment="1" applyProtection="1">
      <alignment vertical="center" wrapText="1"/>
    </xf>
    <xf numFmtId="0" fontId="85" fillId="3" borderId="20" xfId="0" applyFont="1" applyFill="1" applyBorder="1" applyAlignment="1" applyProtection="1">
      <alignment horizontal="center" vertical="center" wrapText="1"/>
    </xf>
    <xf numFmtId="0" fontId="85" fillId="0" borderId="20" xfId="0" applyFont="1" applyBorder="1" applyAlignment="1" applyProtection="1">
      <alignment horizontal="center" vertical="center" wrapText="1"/>
    </xf>
    <xf numFmtId="180" fontId="80" fillId="0" borderId="0" xfId="0" applyNumberFormat="1" applyFont="1" applyBorder="1" applyAlignment="1" applyProtection="1">
      <alignment horizontal="center" vertical="center" wrapText="1"/>
    </xf>
    <xf numFmtId="0" fontId="85" fillId="0" borderId="0" xfId="0" applyFont="1" applyAlignment="1" applyProtection="1">
      <alignment wrapText="1"/>
    </xf>
    <xf numFmtId="0" fontId="85" fillId="0" borderId="0" xfId="0" applyFont="1" applyAlignment="1" applyProtection="1">
      <alignment horizontal="center" wrapText="1"/>
    </xf>
    <xf numFmtId="4" fontId="85" fillId="0" borderId="15" xfId="0" applyNumberFormat="1" applyFont="1" applyBorder="1" applyAlignment="1" applyProtection="1">
      <alignment horizontal="center" vertical="center" wrapText="1"/>
    </xf>
    <xf numFmtId="4" fontId="85" fillId="0" borderId="3" xfId="0" applyNumberFormat="1" applyFont="1" applyBorder="1" applyAlignment="1" applyProtection="1">
      <alignment horizontal="center" vertical="center" wrapText="1"/>
    </xf>
    <xf numFmtId="4" fontId="86" fillId="8" borderId="4" xfId="0" applyNumberFormat="1" applyFont="1" applyFill="1" applyBorder="1" applyAlignment="1" applyProtection="1">
      <alignment horizontal="center" vertical="center" wrapText="1"/>
    </xf>
    <xf numFmtId="4" fontId="85" fillId="0" borderId="3" xfId="0" applyNumberFormat="1" applyFont="1" applyFill="1" applyBorder="1" applyAlignment="1" applyProtection="1">
      <alignment horizontal="center" vertical="center" wrapText="1"/>
    </xf>
    <xf numFmtId="4" fontId="2" fillId="0" borderId="3" xfId="0" applyNumberFormat="1" applyFont="1" applyBorder="1" applyAlignment="1" applyProtection="1">
      <alignment horizontal="center" vertical="center" wrapText="1"/>
    </xf>
    <xf numFmtId="4" fontId="86" fillId="8" borderId="3" xfId="0" applyNumberFormat="1" applyFont="1" applyFill="1" applyBorder="1" applyAlignment="1" applyProtection="1">
      <alignment horizontal="center" vertical="center" wrapText="1"/>
    </xf>
    <xf numFmtId="182" fontId="85" fillId="0" borderId="8" xfId="0" applyNumberFormat="1" applyFont="1" applyBorder="1" applyAlignment="1" applyProtection="1">
      <alignment horizontal="center" vertical="center" wrapText="1"/>
    </xf>
    <xf numFmtId="182" fontId="85" fillId="0" borderId="6" xfId="0" applyNumberFormat="1" applyFont="1" applyBorder="1" applyAlignment="1" applyProtection="1">
      <alignment horizontal="center" vertical="center" wrapText="1"/>
    </xf>
    <xf numFmtId="180" fontId="85" fillId="8" borderId="7" xfId="0" applyNumberFormat="1" applyFont="1" applyFill="1" applyBorder="1" applyAlignment="1" applyProtection="1">
      <alignment horizontal="center" vertical="center" wrapText="1"/>
    </xf>
    <xf numFmtId="4" fontId="85" fillId="3" borderId="6" xfId="0" applyNumberFormat="1" applyFont="1" applyFill="1" applyBorder="1" applyAlignment="1" applyProtection="1">
      <alignment horizontal="center" vertical="center" wrapText="1"/>
    </xf>
    <xf numFmtId="180" fontId="85" fillId="0" borderId="6" xfId="0" applyNumberFormat="1" applyFont="1" applyBorder="1" applyAlignment="1" applyProtection="1">
      <alignment horizontal="center" vertical="center" wrapText="1"/>
    </xf>
    <xf numFmtId="4" fontId="85" fillId="8" borderId="6" xfId="0" applyNumberFormat="1" applyFont="1" applyFill="1" applyBorder="1" applyAlignment="1" applyProtection="1">
      <alignment horizontal="center" vertical="center" wrapText="1"/>
    </xf>
    <xf numFmtId="4" fontId="2" fillId="3" borderId="6" xfId="0" applyNumberFormat="1" applyFont="1" applyFill="1" applyBorder="1" applyAlignment="1" applyProtection="1">
      <alignment horizontal="center" vertical="center" wrapText="1"/>
    </xf>
    <xf numFmtId="4" fontId="85" fillId="8" borderId="7" xfId="0" applyNumberFormat="1"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4" fontId="85" fillId="3" borderId="11" xfId="0" applyNumberFormat="1" applyFont="1" applyFill="1" applyBorder="1" applyAlignment="1" applyProtection="1">
      <alignment horizontal="center" vertical="center" wrapText="1"/>
    </xf>
    <xf numFmtId="180" fontId="83" fillId="3" borderId="11" xfId="0" applyNumberFormat="1" applyFont="1" applyFill="1" applyBorder="1" applyAlignment="1" applyProtection="1">
      <alignment horizontal="center" vertical="center" wrapText="1"/>
    </xf>
    <xf numFmtId="180" fontId="83" fillId="3" borderId="6" xfId="0" applyNumberFormat="1" applyFont="1" applyFill="1" applyBorder="1" applyAlignment="1" applyProtection="1">
      <alignment horizontal="center" vertical="center" wrapText="1"/>
    </xf>
    <xf numFmtId="0" fontId="81" fillId="3" borderId="0" xfId="0" applyFont="1" applyFill="1" applyBorder="1" applyAlignment="1" applyProtection="1">
      <alignment horizontal="center" vertical="center" wrapText="1"/>
    </xf>
    <xf numFmtId="0" fontId="85" fillId="3" borderId="0" xfId="0" applyFont="1" applyFill="1" applyBorder="1" applyAlignment="1" applyProtection="1">
      <alignment horizontal="center" vertical="center" wrapText="1"/>
    </xf>
    <xf numFmtId="180" fontId="85" fillId="3" borderId="23" xfId="0" applyNumberFormat="1" applyFont="1" applyFill="1" applyBorder="1" applyAlignment="1" applyProtection="1">
      <alignment horizontal="center" vertical="center" wrapText="1"/>
    </xf>
    <xf numFmtId="180" fontId="85" fillId="3" borderId="0" xfId="0" applyNumberFormat="1" applyFont="1" applyFill="1" applyBorder="1" applyAlignment="1" applyProtection="1">
      <alignment horizontal="center" vertical="center" wrapText="1"/>
    </xf>
    <xf numFmtId="180" fontId="80" fillId="3" borderId="0" xfId="0" applyNumberFormat="1" applyFont="1" applyFill="1" applyBorder="1" applyAlignment="1" applyProtection="1">
      <alignment horizontal="center" wrapText="1"/>
    </xf>
    <xf numFmtId="0" fontId="0" fillId="3" borderId="0" xfId="0" applyFill="1" applyBorder="1" applyAlignment="1" applyProtection="1">
      <alignment wrapText="1"/>
    </xf>
    <xf numFmtId="0" fontId="0" fillId="3" borderId="0" xfId="0" applyFill="1" applyAlignment="1" applyProtection="1">
      <alignment wrapText="1"/>
    </xf>
    <xf numFmtId="4" fontId="85" fillId="3" borderId="3" xfId="0" applyNumberFormat="1"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180" fontId="93" fillId="0" borderId="0" xfId="0" applyNumberFormat="1" applyFont="1" applyBorder="1" applyAlignment="1" applyProtection="1">
      <alignment horizontal="center" vertical="center" wrapText="1"/>
    </xf>
    <xf numFmtId="180" fontId="93" fillId="3" borderId="0" xfId="0" applyNumberFormat="1" applyFont="1" applyFill="1" applyBorder="1" applyAlignment="1" applyProtection="1">
      <alignment horizontal="center" vertical="center" wrapText="1"/>
    </xf>
    <xf numFmtId="182" fontId="85" fillId="3" borderId="6" xfId="0" applyNumberFormat="1" applyFont="1" applyFill="1" applyBorder="1" applyAlignment="1" applyProtection="1">
      <alignment horizontal="center" vertical="center" wrapText="1"/>
    </xf>
    <xf numFmtId="180" fontId="2" fillId="3" borderId="6" xfId="0" applyNumberFormat="1" applyFont="1" applyFill="1" applyBorder="1" applyAlignment="1" applyProtection="1">
      <alignment horizontal="center" vertical="center" wrapText="1"/>
    </xf>
    <xf numFmtId="4" fontId="2" fillId="3" borderId="7" xfId="0" applyNumberFormat="1" applyFont="1" applyFill="1" applyBorder="1" applyAlignment="1" applyProtection="1">
      <alignment horizontal="center" vertical="center" wrapText="1"/>
    </xf>
    <xf numFmtId="0" fontId="117" fillId="25" borderId="20" xfId="0" applyFont="1" applyFill="1" applyBorder="1" applyAlignment="1" applyProtection="1">
      <alignment horizontal="left" vertical="center" wrapText="1"/>
    </xf>
    <xf numFmtId="0" fontId="80" fillId="0" borderId="0" xfId="0" applyFont="1" applyAlignment="1" applyProtection="1">
      <alignment vertical="top" wrapText="1"/>
    </xf>
    <xf numFmtId="180" fontId="80" fillId="0" borderId="0" xfId="0" applyNumberFormat="1" applyFont="1" applyBorder="1" applyAlignment="1" applyProtection="1">
      <alignment horizontal="center" wrapText="1"/>
    </xf>
    <xf numFmtId="4" fontId="24" fillId="3" borderId="0" xfId="0" applyNumberFormat="1" applyFont="1" applyFill="1" applyBorder="1" applyAlignment="1" applyProtection="1">
      <alignment horizontal="center" vertical="center" wrapText="1"/>
    </xf>
    <xf numFmtId="4" fontId="86" fillId="3" borderId="28" xfId="0" applyNumberFormat="1" applyFont="1" applyFill="1" applyBorder="1" applyAlignment="1" applyProtection="1">
      <alignment horizontal="center" vertical="center" wrapText="1"/>
    </xf>
    <xf numFmtId="4" fontId="85" fillId="0" borderId="4" xfId="0" applyNumberFormat="1" applyFont="1" applyBorder="1" applyAlignment="1" applyProtection="1">
      <alignment horizontal="center" vertical="center" wrapText="1"/>
    </xf>
    <xf numFmtId="180" fontId="103" fillId="0" borderId="6" xfId="0" applyNumberFormat="1" applyFont="1" applyBorder="1" applyAlignment="1" applyProtection="1">
      <alignment horizontal="center" wrapText="1"/>
    </xf>
    <xf numFmtId="180" fontId="85" fillId="3" borderId="6" xfId="0" applyNumberFormat="1" applyFont="1" applyFill="1" applyBorder="1" applyAlignment="1" applyProtection="1">
      <alignment horizontal="center" vertical="center" wrapText="1"/>
    </xf>
    <xf numFmtId="180" fontId="103" fillId="8" borderId="6" xfId="0" applyNumberFormat="1" applyFont="1" applyFill="1" applyBorder="1" applyAlignment="1" applyProtection="1">
      <alignment horizontal="center" wrapText="1"/>
    </xf>
    <xf numFmtId="180" fontId="103" fillId="3" borderId="6" xfId="0" applyNumberFormat="1" applyFont="1" applyFill="1" applyBorder="1" applyAlignment="1" applyProtection="1">
      <alignment horizontal="center" wrapText="1"/>
    </xf>
    <xf numFmtId="0" fontId="85" fillId="0" borderId="31" xfId="0" applyFont="1" applyFill="1" applyBorder="1" applyAlignment="1" applyProtection="1">
      <alignment horizontal="center" vertical="center" wrapText="1"/>
    </xf>
    <xf numFmtId="0" fontId="86" fillId="8" borderId="4" xfId="0" applyFont="1" applyFill="1" applyBorder="1" applyAlignment="1" applyProtection="1">
      <alignment horizontal="center" vertical="center" wrapText="1"/>
    </xf>
    <xf numFmtId="180" fontId="103" fillId="0" borderId="13" xfId="0" applyNumberFormat="1" applyFont="1" applyBorder="1" applyAlignment="1" applyProtection="1">
      <alignment horizontal="center" vertical="center" wrapText="1"/>
    </xf>
    <xf numFmtId="180" fontId="103" fillId="0" borderId="6" xfId="0" applyNumberFormat="1" applyFont="1" applyBorder="1" applyAlignment="1" applyProtection="1">
      <alignment horizontal="center" vertical="center" wrapText="1"/>
    </xf>
    <xf numFmtId="180" fontId="103" fillId="3" borderId="6" xfId="0" applyNumberFormat="1" applyFont="1" applyFill="1" applyBorder="1" applyAlignment="1" applyProtection="1">
      <alignment horizontal="center" vertical="center" wrapText="1"/>
    </xf>
    <xf numFmtId="180" fontId="8" fillId="8" borderId="7" xfId="0" applyNumberFormat="1" applyFont="1" applyFill="1" applyBorder="1" applyAlignment="1" applyProtection="1">
      <alignment horizontal="center" vertical="center" wrapText="1"/>
    </xf>
    <xf numFmtId="4" fontId="85" fillId="3" borderId="7" xfId="0" applyNumberFormat="1" applyFont="1" applyFill="1" applyBorder="1" applyAlignment="1" applyProtection="1">
      <alignment horizontal="center" vertical="center" wrapText="1"/>
    </xf>
    <xf numFmtId="0" fontId="85" fillId="3" borderId="0" xfId="0" applyFont="1" applyFill="1" applyBorder="1" applyAlignment="1" applyProtection="1">
      <alignment wrapText="1"/>
    </xf>
    <xf numFmtId="0" fontId="83" fillId="3" borderId="0" xfId="0" applyFont="1" applyFill="1" applyBorder="1" applyAlignment="1" applyProtection="1">
      <alignment horizontal="left" vertical="center" wrapText="1"/>
    </xf>
    <xf numFmtId="0" fontId="85" fillId="3" borderId="0" xfId="0" applyFont="1" applyFill="1" applyBorder="1" applyAlignment="1" applyProtection="1">
      <alignment horizontal="center" wrapText="1"/>
    </xf>
    <xf numFmtId="0" fontId="80" fillId="3" borderId="0" xfId="0" applyFont="1" applyFill="1" applyBorder="1" applyAlignment="1" applyProtection="1">
      <alignment wrapText="1"/>
    </xf>
    <xf numFmtId="0" fontId="0" fillId="3" borderId="0" xfId="0" applyFill="1" applyBorder="1" applyProtection="1"/>
    <xf numFmtId="180" fontId="85" fillId="3" borderId="15" xfId="0" applyNumberFormat="1" applyFont="1" applyFill="1" applyBorder="1" applyAlignment="1" applyProtection="1">
      <alignment horizontal="center" vertical="center" wrapText="1"/>
    </xf>
    <xf numFmtId="0" fontId="117" fillId="3" borderId="3" xfId="0" applyFont="1" applyFill="1" applyBorder="1" applyAlignment="1" applyProtection="1">
      <alignment horizontal="center" vertical="center" wrapText="1"/>
    </xf>
    <xf numFmtId="0" fontId="85" fillId="3" borderId="4" xfId="0" applyFont="1" applyFill="1" applyBorder="1" applyAlignment="1" applyProtection="1">
      <alignment horizontal="center" vertical="center" wrapText="1"/>
    </xf>
    <xf numFmtId="0" fontId="85" fillId="3" borderId="30" xfId="0" applyFont="1" applyFill="1" applyBorder="1" applyAlignment="1" applyProtection="1">
      <alignment horizontal="center" vertical="center" wrapText="1"/>
    </xf>
    <xf numFmtId="0" fontId="85" fillId="0" borderId="31" xfId="0" applyFont="1" applyBorder="1" applyAlignment="1" applyProtection="1">
      <alignment horizontal="left" vertical="center" wrapText="1"/>
    </xf>
    <xf numFmtId="0" fontId="85" fillId="3" borderId="31" xfId="0" applyFont="1" applyFill="1" applyBorder="1" applyAlignment="1" applyProtection="1">
      <alignment horizontal="center" vertical="center" wrapText="1"/>
    </xf>
    <xf numFmtId="0" fontId="85" fillId="3" borderId="31" xfId="0" applyNumberFormat="1" applyFont="1" applyFill="1" applyBorder="1" applyAlignment="1" applyProtection="1">
      <alignment horizontal="center" vertical="center" wrapText="1"/>
    </xf>
    <xf numFmtId="0" fontId="85" fillId="3" borderId="54" xfId="0" applyNumberFormat="1" applyFont="1" applyFill="1" applyBorder="1" applyAlignment="1" applyProtection="1">
      <alignment horizontal="center" vertical="center" wrapText="1"/>
    </xf>
    <xf numFmtId="4" fontId="85" fillId="0" borderId="8" xfId="0" applyNumberFormat="1" applyFont="1" applyBorder="1" applyAlignment="1" applyProtection="1">
      <alignment horizontal="center" vertical="center" wrapText="1"/>
    </xf>
    <xf numFmtId="0" fontId="85" fillId="3" borderId="6" xfId="0" applyNumberFormat="1" applyFont="1" applyFill="1" applyBorder="1" applyAlignment="1" applyProtection="1">
      <alignment horizontal="center" vertical="center" wrapText="1"/>
    </xf>
    <xf numFmtId="0" fontId="85" fillId="3" borderId="7" xfId="0" applyNumberFormat="1" applyFont="1" applyFill="1" applyBorder="1" applyAlignment="1" applyProtection="1">
      <alignment horizontal="center" vertical="center" wrapText="1"/>
    </xf>
    <xf numFmtId="0" fontId="74" fillId="0" borderId="0" xfId="0" applyFont="1" applyBorder="1" applyAlignment="1" applyProtection="1">
      <alignment horizontal="center" vertical="center" wrapText="1"/>
    </xf>
    <xf numFmtId="4" fontId="129" fillId="8" borderId="3" xfId="0" applyNumberFormat="1" applyFont="1" applyFill="1" applyBorder="1" applyAlignment="1" applyProtection="1">
      <alignment horizontal="center" vertical="center" wrapText="1"/>
    </xf>
    <xf numFmtId="4" fontId="2" fillId="3" borderId="3" xfId="0" applyNumberFormat="1" applyFont="1" applyFill="1" applyBorder="1" applyAlignment="1" applyProtection="1">
      <alignment horizontal="center" vertical="center" wrapText="1"/>
    </xf>
    <xf numFmtId="4" fontId="129" fillId="8" borderId="4" xfId="0" applyNumberFormat="1" applyFont="1" applyFill="1" applyBorder="1" applyAlignment="1" applyProtection="1">
      <alignment horizontal="center" vertical="center" wrapText="1"/>
    </xf>
    <xf numFmtId="180" fontId="85" fillId="8" borderId="6" xfId="0" applyNumberFormat="1" applyFont="1" applyFill="1" applyBorder="1" applyAlignment="1" applyProtection="1">
      <alignment horizontal="center" vertical="center" wrapText="1"/>
    </xf>
    <xf numFmtId="180" fontId="85" fillId="25" borderId="6" xfId="0" applyNumberFormat="1" applyFont="1" applyFill="1" applyBorder="1" applyAlignment="1" applyProtection="1">
      <alignment horizontal="center" vertical="center" wrapText="1"/>
    </xf>
    <xf numFmtId="4" fontId="117" fillId="25" borderId="3" xfId="0" applyNumberFormat="1" applyFont="1" applyFill="1" applyBorder="1" applyAlignment="1" applyProtection="1">
      <alignment horizontal="center" vertical="center" wrapText="1"/>
    </xf>
    <xf numFmtId="4" fontId="117" fillId="25" borderId="4" xfId="0" applyNumberFormat="1" applyFont="1" applyFill="1" applyBorder="1" applyAlignment="1" applyProtection="1">
      <alignment horizontal="center" vertical="center" wrapText="1"/>
    </xf>
    <xf numFmtId="180" fontId="85" fillId="3" borderId="13" xfId="0" applyNumberFormat="1" applyFont="1" applyFill="1" applyBorder="1" applyAlignment="1" applyProtection="1">
      <alignment horizontal="center" vertical="center" wrapText="1"/>
    </xf>
    <xf numFmtId="180" fontId="117" fillId="25" borderId="6" xfId="0" applyNumberFormat="1" applyFont="1" applyFill="1" applyBorder="1" applyAlignment="1" applyProtection="1">
      <alignment horizontal="center" vertical="center" wrapText="1"/>
    </xf>
    <xf numFmtId="180" fontId="117" fillId="25" borderId="7" xfId="0" applyNumberFormat="1"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180" fontId="117" fillId="25" borderId="15" xfId="0" applyNumberFormat="1" applyFont="1" applyFill="1" applyBorder="1" applyAlignment="1" applyProtection="1">
      <alignment horizontal="center" vertical="center" wrapText="1"/>
    </xf>
    <xf numFmtId="180" fontId="117" fillId="25" borderId="4" xfId="0" applyNumberFormat="1" applyFont="1" applyFill="1" applyBorder="1" applyAlignment="1" applyProtection="1">
      <alignment horizontal="center" vertical="center" wrapText="1"/>
    </xf>
    <xf numFmtId="0" fontId="81" fillId="0" borderId="16" xfId="0" applyFont="1" applyBorder="1" applyAlignment="1" applyProtection="1">
      <alignment horizontal="center" vertical="center" wrapText="1"/>
    </xf>
    <xf numFmtId="0" fontId="2" fillId="25" borderId="17" xfId="0" applyFont="1" applyFill="1" applyBorder="1" applyAlignment="1" applyProtection="1">
      <alignment horizontal="left" vertical="center" wrapText="1"/>
    </xf>
    <xf numFmtId="0" fontId="85" fillId="3" borderId="17" xfId="0" applyFont="1" applyFill="1" applyBorder="1" applyAlignment="1" applyProtection="1">
      <alignment horizontal="center" vertical="center" wrapText="1"/>
    </xf>
    <xf numFmtId="0" fontId="85" fillId="0" borderId="17" xfId="0" applyFont="1" applyBorder="1" applyAlignment="1" applyProtection="1">
      <alignment horizontal="center" vertical="center" wrapText="1"/>
    </xf>
    <xf numFmtId="4" fontId="117" fillId="25" borderId="8" xfId="0" applyNumberFormat="1" applyFont="1" applyFill="1" applyBorder="1" applyAlignment="1" applyProtection="1">
      <alignment horizontal="center" vertical="center" wrapText="1"/>
    </xf>
    <xf numFmtId="4" fontId="117" fillId="25" borderId="7" xfId="0" applyNumberFormat="1" applyFont="1" applyFill="1" applyBorder="1" applyAlignment="1" applyProtection="1">
      <alignment horizontal="center" vertical="center" wrapText="1"/>
    </xf>
    <xf numFmtId="0" fontId="81" fillId="0" borderId="0" xfId="0" applyFont="1" applyBorder="1" applyAlignment="1" applyProtection="1">
      <alignment horizontal="center" vertical="center" wrapText="1"/>
    </xf>
    <xf numFmtId="0" fontId="85" fillId="0" borderId="0" xfId="0" applyFont="1" applyBorder="1" applyAlignment="1" applyProtection="1">
      <alignment horizontal="center" vertical="center" wrapText="1"/>
    </xf>
    <xf numFmtId="0" fontId="0" fillId="0" borderId="62" xfId="0" applyBorder="1" applyAlignment="1" applyProtection="1">
      <alignment wrapText="1"/>
    </xf>
    <xf numFmtId="0" fontId="0" fillId="0" borderId="0" xfId="0" applyBorder="1" applyProtection="1"/>
    <xf numFmtId="4" fontId="85" fillId="3" borderId="2" xfId="0" applyNumberFormat="1" applyFont="1" applyFill="1" applyBorder="1" applyAlignment="1" applyProtection="1">
      <alignment horizontal="center" vertical="center" wrapText="1"/>
    </xf>
    <xf numFmtId="4" fontId="117" fillId="25" borderId="1" xfId="0" applyNumberFormat="1" applyFont="1" applyFill="1" applyBorder="1" applyAlignment="1" applyProtection="1">
      <alignment horizontal="center" vertical="center" wrapText="1"/>
    </xf>
    <xf numFmtId="4" fontId="51" fillId="25" borderId="9" xfId="0" applyNumberFormat="1" applyFont="1" applyFill="1" applyBorder="1" applyAlignment="1" applyProtection="1">
      <alignment horizontal="center" vertical="center" wrapText="1"/>
    </xf>
    <xf numFmtId="4" fontId="117" fillId="25" borderId="2" xfId="0" applyNumberFormat="1" applyFont="1" applyFill="1" applyBorder="1" applyAlignment="1" applyProtection="1">
      <alignment horizontal="center" vertical="center" wrapText="1"/>
    </xf>
    <xf numFmtId="4" fontId="136" fillId="25" borderId="1" xfId="0" applyNumberFormat="1" applyFont="1" applyFill="1" applyBorder="1" applyAlignment="1" applyProtection="1">
      <alignment horizontal="center" vertical="center" wrapText="1"/>
    </xf>
    <xf numFmtId="0" fontId="0" fillId="0" borderId="5" xfId="0" applyBorder="1" applyProtection="1"/>
    <xf numFmtId="180" fontId="85" fillId="3" borderId="8" xfId="0" applyNumberFormat="1" applyFont="1" applyFill="1" applyBorder="1" applyAlignment="1" applyProtection="1">
      <alignment horizontal="center" vertical="center" wrapText="1"/>
    </xf>
    <xf numFmtId="180" fontId="117" fillId="25" borderId="24" xfId="0" applyNumberFormat="1" applyFont="1" applyFill="1" applyBorder="1" applyAlignment="1" applyProtection="1">
      <alignment horizontal="center" vertical="center" wrapText="1"/>
    </xf>
    <xf numFmtId="180" fontId="117" fillId="25" borderId="8" xfId="0" applyNumberFormat="1" applyFont="1" applyFill="1" applyBorder="1" applyAlignment="1" applyProtection="1">
      <alignment horizontal="center" vertical="center" wrapText="1"/>
    </xf>
    <xf numFmtId="180" fontId="136" fillId="25" borderId="6" xfId="0" applyNumberFormat="1" applyFont="1" applyFill="1" applyBorder="1" applyAlignment="1" applyProtection="1">
      <alignment horizontal="center" vertical="center" wrapText="1"/>
    </xf>
    <xf numFmtId="0" fontId="83" fillId="0" borderId="0" xfId="0" applyFont="1" applyBorder="1" applyAlignment="1" applyProtection="1">
      <alignment horizontal="justify" vertical="center" wrapText="1"/>
    </xf>
    <xf numFmtId="4" fontId="80" fillId="0" borderId="0" xfId="0" applyNumberFormat="1" applyFont="1" applyBorder="1" applyAlignment="1" applyProtection="1">
      <alignment wrapText="1"/>
    </xf>
    <xf numFmtId="180" fontId="80" fillId="0" borderId="0" xfId="0" applyNumberFormat="1" applyFont="1" applyBorder="1" applyAlignment="1" applyProtection="1">
      <alignment wrapText="1"/>
    </xf>
    <xf numFmtId="182" fontId="86" fillId="0" borderId="0" xfId="0" applyNumberFormat="1" applyFont="1" applyBorder="1" applyAlignment="1" applyProtection="1">
      <alignment wrapText="1"/>
    </xf>
    <xf numFmtId="181" fontId="137" fillId="0" borderId="0" xfId="0" applyNumberFormat="1" applyFont="1" applyAlignment="1" applyProtection="1">
      <alignment wrapText="1"/>
    </xf>
    <xf numFmtId="1" fontId="138" fillId="33" borderId="0" xfId="0" applyNumberFormat="1" applyFont="1" applyFill="1" applyAlignment="1" applyProtection="1">
      <alignment wrapText="1"/>
    </xf>
    <xf numFmtId="4" fontId="117" fillId="25" borderId="3" xfId="0" applyNumberFormat="1" applyFont="1" applyFill="1" applyBorder="1" applyAlignment="1" applyProtection="1">
      <alignment horizontal="center" wrapText="1"/>
    </xf>
    <xf numFmtId="4" fontId="117" fillId="25" borderId="4" xfId="0" applyNumberFormat="1" applyFont="1" applyFill="1" applyBorder="1" applyAlignment="1" applyProtection="1">
      <alignment horizontal="center" wrapText="1"/>
    </xf>
    <xf numFmtId="181" fontId="139" fillId="3" borderId="0" xfId="0" applyNumberFormat="1" applyFont="1" applyFill="1" applyBorder="1" applyAlignment="1" applyProtection="1">
      <alignment vertical="center" wrapText="1"/>
    </xf>
    <xf numFmtId="4" fontId="117" fillId="25" borderId="5" xfId="0" applyNumberFormat="1" applyFont="1" applyFill="1" applyBorder="1" applyAlignment="1" applyProtection="1">
      <alignment horizontal="center" vertical="center" wrapText="1"/>
    </xf>
    <xf numFmtId="4" fontId="136" fillId="25" borderId="26" xfId="0" applyNumberFormat="1" applyFont="1" applyFill="1" applyBorder="1" applyAlignment="1" applyProtection="1">
      <alignment horizontal="center" vertical="center" wrapText="1"/>
    </xf>
    <xf numFmtId="4" fontId="117" fillId="25" borderId="11" xfId="0" applyNumberFormat="1" applyFont="1" applyFill="1" applyBorder="1" applyAlignment="1" applyProtection="1">
      <alignment horizontal="center" vertical="center" wrapText="1"/>
    </xf>
    <xf numFmtId="4" fontId="86" fillId="8" borderId="11" xfId="0" applyNumberFormat="1" applyFont="1" applyFill="1" applyBorder="1" applyAlignment="1" applyProtection="1">
      <alignment horizontal="center" vertical="center" wrapText="1"/>
    </xf>
    <xf numFmtId="4" fontId="117" fillId="25" borderId="32" xfId="0" applyNumberFormat="1" applyFont="1" applyFill="1" applyBorder="1" applyAlignment="1" applyProtection="1">
      <alignment horizontal="center" vertical="center" wrapText="1"/>
    </xf>
    <xf numFmtId="4" fontId="86" fillId="8" borderId="1" xfId="0" applyNumberFormat="1" applyFont="1" applyFill="1" applyBorder="1" applyAlignment="1" applyProtection="1">
      <alignment horizontal="center" vertical="center" wrapText="1"/>
    </xf>
    <xf numFmtId="180" fontId="85" fillId="0" borderId="8" xfId="0" applyNumberFormat="1" applyFont="1" applyBorder="1" applyAlignment="1" applyProtection="1">
      <alignment horizontal="center" vertical="center" wrapText="1"/>
    </xf>
    <xf numFmtId="180" fontId="136" fillId="25" borderId="56" xfId="0" applyNumberFormat="1" applyFont="1" applyFill="1" applyBorder="1" applyAlignment="1" applyProtection="1">
      <alignment horizontal="center" vertical="center" wrapText="1"/>
    </xf>
    <xf numFmtId="4" fontId="86" fillId="8" borderId="6" xfId="0" applyNumberFormat="1" applyFont="1" applyFill="1" applyBorder="1" applyAlignment="1" applyProtection="1">
      <alignment horizontal="center" vertical="center" wrapText="1"/>
    </xf>
    <xf numFmtId="180" fontId="136" fillId="8" borderId="6" xfId="0" applyNumberFormat="1" applyFont="1" applyFill="1" applyBorder="1" applyAlignment="1" applyProtection="1">
      <alignment horizontal="center" vertical="center" wrapText="1"/>
    </xf>
    <xf numFmtId="0" fontId="85" fillId="3" borderId="0" xfId="0" applyFont="1" applyFill="1" applyBorder="1" applyAlignment="1" applyProtection="1">
      <alignment horizontal="left" vertical="center" wrapText="1"/>
    </xf>
    <xf numFmtId="180" fontId="117" fillId="3" borderId="0" xfId="0" applyNumberFormat="1" applyFont="1" applyFill="1" applyBorder="1" applyAlignment="1" applyProtection="1">
      <alignment horizontal="center" vertical="center" wrapText="1"/>
    </xf>
    <xf numFmtId="0" fontId="0" fillId="30" borderId="0" xfId="0" applyFill="1" applyAlignment="1" applyProtection="1">
      <alignment wrapText="1"/>
    </xf>
    <xf numFmtId="0" fontId="0" fillId="34" borderId="0" xfId="0" applyFill="1" applyAlignment="1" applyProtection="1">
      <alignment wrapText="1"/>
    </xf>
    <xf numFmtId="4" fontId="85" fillId="0" borderId="28" xfId="0" applyNumberFormat="1" applyFont="1" applyBorder="1" applyAlignment="1" applyProtection="1">
      <alignment horizontal="center" vertical="center" wrapText="1"/>
    </xf>
    <xf numFmtId="4" fontId="83" fillId="3" borderId="15" xfId="0" applyNumberFormat="1" applyFont="1" applyFill="1" applyBorder="1" applyAlignment="1" applyProtection="1">
      <alignment horizontal="center" vertical="center" wrapText="1"/>
    </xf>
    <xf numFmtId="4" fontId="5" fillId="3" borderId="4" xfId="0" applyNumberFormat="1" applyFont="1" applyFill="1" applyBorder="1" applyAlignment="1" applyProtection="1">
      <alignment horizontal="center" vertical="center" wrapText="1"/>
    </xf>
    <xf numFmtId="180" fontId="85" fillId="0" borderId="24" xfId="0" applyNumberFormat="1" applyFont="1" applyBorder="1" applyAlignment="1" applyProtection="1">
      <alignment horizontal="center" vertical="center" wrapText="1"/>
    </xf>
    <xf numFmtId="180" fontId="83" fillId="3" borderId="8" xfId="0" applyNumberFormat="1" applyFont="1" applyFill="1" applyBorder="1" applyAlignment="1" applyProtection="1">
      <alignment horizontal="center" vertical="center" wrapText="1"/>
    </xf>
    <xf numFmtId="180" fontId="5" fillId="3" borderId="7" xfId="0" applyNumberFormat="1" applyFont="1" applyFill="1" applyBorder="1" applyAlignment="1" applyProtection="1">
      <alignment horizontal="center" vertical="center" wrapText="1"/>
    </xf>
    <xf numFmtId="4" fontId="2" fillId="3" borderId="11" xfId="0" applyNumberFormat="1" applyFont="1" applyFill="1" applyBorder="1" applyAlignment="1" applyProtection="1">
      <alignment horizontal="center" vertical="center" wrapText="1"/>
    </xf>
    <xf numFmtId="4" fontId="6" fillId="3" borderId="11" xfId="0" applyNumberFormat="1" applyFont="1" applyFill="1" applyBorder="1" applyAlignment="1" applyProtection="1">
      <alignment horizontal="center" vertical="center" wrapText="1"/>
    </xf>
    <xf numFmtId="4" fontId="5" fillId="8" borderId="3" xfId="0" applyNumberFormat="1" applyFont="1" applyFill="1" applyBorder="1" applyAlignment="1" applyProtection="1">
      <alignment horizontal="center" vertical="center" wrapText="1"/>
    </xf>
    <xf numFmtId="180" fontId="6" fillId="3" borderId="6" xfId="0" applyNumberFormat="1" applyFont="1" applyFill="1" applyBorder="1" applyAlignment="1" applyProtection="1">
      <alignment horizontal="center" vertical="center" wrapText="1"/>
    </xf>
    <xf numFmtId="180" fontId="2" fillId="8" borderId="6" xfId="0" applyNumberFormat="1" applyFont="1" applyFill="1" applyBorder="1" applyAlignment="1" applyProtection="1">
      <alignment horizontal="center" vertical="center" wrapText="1"/>
    </xf>
    <xf numFmtId="4" fontId="83" fillId="3" borderId="11" xfId="0" applyNumberFormat="1" applyFont="1" applyFill="1" applyBorder="1" applyAlignment="1" applyProtection="1">
      <alignment horizontal="center" vertical="center" wrapText="1"/>
    </xf>
    <xf numFmtId="180" fontId="83" fillId="3" borderId="0" xfId="0" applyNumberFormat="1" applyFont="1" applyFill="1" applyBorder="1" applyAlignment="1" applyProtection="1">
      <alignment horizontal="center" vertical="center" wrapText="1"/>
    </xf>
    <xf numFmtId="4" fontId="85" fillId="3" borderId="0" xfId="0" applyNumberFormat="1" applyFont="1" applyFill="1" applyBorder="1" applyAlignment="1" applyProtection="1">
      <alignment horizontal="center" vertical="center" wrapText="1"/>
    </xf>
    <xf numFmtId="180" fontId="6" fillId="3" borderId="3" xfId="0" applyNumberFormat="1" applyFont="1" applyFill="1" applyBorder="1" applyAlignment="1" applyProtection="1">
      <alignment horizontal="center" vertical="center" wrapText="1"/>
    </xf>
    <xf numFmtId="180" fontId="2" fillId="3" borderId="7" xfId="0" applyNumberFormat="1" applyFont="1" applyFill="1" applyBorder="1" applyAlignment="1" applyProtection="1">
      <alignment horizontal="center" vertical="center" wrapText="1"/>
    </xf>
    <xf numFmtId="0" fontId="103" fillId="0" borderId="0" xfId="0" applyFont="1" applyAlignment="1" applyProtection="1">
      <alignment horizontal="center" wrapText="1"/>
    </xf>
    <xf numFmtId="0" fontId="16" fillId="0" borderId="3" xfId="0" applyFont="1" applyBorder="1" applyAlignment="1" applyProtection="1">
      <alignment horizontal="center" vertical="center" wrapText="1"/>
    </xf>
    <xf numFmtId="4" fontId="16" fillId="0" borderId="3" xfId="0" applyNumberFormat="1" applyFont="1" applyBorder="1" applyAlignment="1" applyProtection="1">
      <alignment horizontal="center" vertical="center" wrapText="1"/>
    </xf>
    <xf numFmtId="4" fontId="16" fillId="3" borderId="4" xfId="0" applyNumberFormat="1" applyFont="1" applyFill="1" applyBorder="1" applyAlignment="1" applyProtection="1">
      <alignment horizontal="center" vertical="center" wrapText="1"/>
    </xf>
    <xf numFmtId="180" fontId="85" fillId="3" borderId="7" xfId="0" applyNumberFormat="1" applyFont="1" applyFill="1" applyBorder="1" applyAlignment="1" applyProtection="1">
      <alignment horizontal="center" vertical="center" wrapText="1"/>
    </xf>
    <xf numFmtId="0" fontId="83" fillId="0" borderId="0" xfId="0" applyFont="1" applyBorder="1" applyAlignment="1" applyProtection="1">
      <alignment horizontal="left" vertical="center" wrapText="1"/>
    </xf>
    <xf numFmtId="0" fontId="85" fillId="3" borderId="41" xfId="0" applyFont="1" applyFill="1" applyBorder="1" applyAlignment="1" applyProtection="1">
      <alignment horizontal="center" vertical="center" wrapText="1"/>
    </xf>
    <xf numFmtId="0" fontId="85" fillId="0" borderId="23" xfId="0" applyFont="1" applyBorder="1" applyAlignment="1" applyProtection="1">
      <alignment horizontal="center" vertical="center" wrapText="1"/>
    </xf>
    <xf numFmtId="4" fontId="29" fillId="0" borderId="54" xfId="0" applyNumberFormat="1" applyFont="1" applyBorder="1" applyAlignment="1" applyProtection="1">
      <alignment vertical="center" wrapText="1"/>
    </xf>
    <xf numFmtId="4" fontId="29" fillId="0" borderId="29" xfId="0" applyNumberFormat="1" applyFont="1" applyBorder="1" applyAlignment="1" applyProtection="1">
      <alignment vertical="center" wrapText="1"/>
    </xf>
    <xf numFmtId="0" fontId="103" fillId="0" borderId="0" xfId="0" applyFont="1" applyBorder="1" applyAlignment="1" applyProtection="1">
      <alignment vertical="center" wrapText="1"/>
    </xf>
    <xf numFmtId="3" fontId="85" fillId="0" borderId="4" xfId="0" applyNumberFormat="1" applyFont="1" applyBorder="1" applyAlignment="1" applyProtection="1">
      <alignment horizontal="center" vertical="center" wrapText="1"/>
    </xf>
    <xf numFmtId="180" fontId="85" fillId="0" borderId="13" xfId="0" applyNumberFormat="1" applyFont="1" applyBorder="1" applyAlignment="1" applyProtection="1">
      <alignment horizontal="center" vertical="center" wrapText="1"/>
    </xf>
    <xf numFmtId="180" fontId="85" fillId="0" borderId="19" xfId="0" applyNumberFormat="1" applyFont="1" applyBorder="1" applyAlignment="1" applyProtection="1">
      <alignment horizontal="center" vertical="center" wrapText="1"/>
    </xf>
    <xf numFmtId="4" fontId="2" fillId="3" borderId="4" xfId="0" applyNumberFormat="1" applyFont="1" applyFill="1" applyBorder="1" applyAlignment="1" applyProtection="1">
      <alignment horizontal="center" vertical="center" wrapText="1"/>
    </xf>
    <xf numFmtId="0" fontId="83" fillId="0" borderId="0" xfId="0" applyFont="1" applyBorder="1" applyAlignment="1" applyProtection="1">
      <alignment vertical="center" wrapText="1"/>
    </xf>
    <xf numFmtId="0" fontId="85" fillId="3" borderId="0" xfId="0" applyFont="1" applyFill="1" applyAlignment="1" applyProtection="1">
      <alignment horizontal="center" wrapText="1"/>
    </xf>
    <xf numFmtId="0" fontId="80" fillId="3" borderId="0" xfId="0" applyFont="1" applyFill="1" applyAlignment="1" applyProtection="1">
      <alignment wrapText="1"/>
    </xf>
    <xf numFmtId="0" fontId="81" fillId="0" borderId="30" xfId="0" applyFont="1" applyBorder="1" applyAlignment="1" applyProtection="1">
      <alignment horizontal="center" vertical="center" wrapText="1"/>
    </xf>
    <xf numFmtId="0" fontId="85" fillId="3" borderId="31" xfId="0" applyFont="1" applyFill="1" applyBorder="1" applyAlignment="1" applyProtection="1">
      <alignment vertical="center" wrapText="1"/>
    </xf>
    <xf numFmtId="4" fontId="85" fillId="3" borderId="12" xfId="0" applyNumberFormat="1" applyFont="1" applyFill="1" applyBorder="1" applyAlignment="1" applyProtection="1">
      <alignment horizontal="center" vertical="center" wrapText="1"/>
    </xf>
    <xf numFmtId="4" fontId="85" fillId="3" borderId="28" xfId="0" applyNumberFormat="1" applyFont="1" applyFill="1" applyBorder="1" applyAlignment="1" applyProtection="1">
      <alignment horizontal="center" vertical="center" wrapText="1"/>
    </xf>
    <xf numFmtId="4" fontId="2" fillId="3" borderId="2" xfId="0" applyNumberFormat="1" applyFont="1" applyFill="1" applyBorder="1" applyAlignment="1" applyProtection="1">
      <alignment horizontal="center" vertical="center" wrapText="1"/>
    </xf>
    <xf numFmtId="4" fontId="2" fillId="3" borderId="5" xfId="0" applyNumberFormat="1" applyFont="1" applyFill="1" applyBorder="1" applyAlignment="1" applyProtection="1">
      <alignment horizontal="center" vertical="center" wrapText="1"/>
    </xf>
    <xf numFmtId="4" fontId="117" fillId="25" borderId="25" xfId="0" applyNumberFormat="1" applyFont="1" applyFill="1" applyBorder="1" applyAlignment="1" applyProtection="1">
      <alignment horizontal="center" vertical="center" wrapText="1"/>
    </xf>
    <xf numFmtId="4" fontId="5" fillId="8" borderId="1" xfId="0" applyNumberFormat="1"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4" fontId="84" fillId="3" borderId="0" xfId="0" applyNumberFormat="1" applyFont="1" applyFill="1" applyBorder="1" applyAlignment="1" applyProtection="1">
      <alignment horizontal="center" vertical="center" wrapText="1"/>
    </xf>
    <xf numFmtId="4" fontId="140" fillId="3" borderId="0" xfId="0" applyNumberFormat="1" applyFont="1" applyFill="1" applyBorder="1" applyAlignment="1" applyProtection="1">
      <alignment vertical="center" wrapText="1"/>
    </xf>
    <xf numFmtId="4" fontId="80" fillId="3" borderId="0" xfId="0" applyNumberFormat="1" applyFont="1" applyFill="1" applyBorder="1" applyAlignment="1" applyProtection="1">
      <alignment horizontal="center" vertical="center" wrapText="1"/>
    </xf>
    <xf numFmtId="4" fontId="80" fillId="33" borderId="0" xfId="0" applyNumberFormat="1" applyFont="1" applyFill="1" applyBorder="1" applyAlignment="1" applyProtection="1">
      <alignment wrapText="1"/>
    </xf>
    <xf numFmtId="0" fontId="92" fillId="3" borderId="4" xfId="0" applyFont="1" applyFill="1" applyBorder="1" applyAlignment="1" applyProtection="1">
      <alignment horizontal="center" wrapText="1"/>
    </xf>
    <xf numFmtId="4" fontId="85" fillId="3" borderId="1" xfId="0" applyNumberFormat="1" applyFont="1" applyFill="1" applyBorder="1" applyAlignment="1" applyProtection="1">
      <alignment horizontal="center" vertical="center" wrapText="1"/>
    </xf>
    <xf numFmtId="4" fontId="81" fillId="3" borderId="0" xfId="0" applyNumberFormat="1" applyFont="1" applyFill="1" applyBorder="1" applyAlignment="1" applyProtection="1">
      <alignment horizontal="center" vertical="center" wrapText="1"/>
    </xf>
    <xf numFmtId="0" fontId="85" fillId="0" borderId="0" xfId="0" applyFont="1" applyBorder="1" applyAlignment="1" applyProtection="1">
      <alignment vertical="center" wrapText="1"/>
    </xf>
    <xf numFmtId="0" fontId="92" fillId="3" borderId="0" xfId="0" applyFont="1" applyFill="1" applyBorder="1" applyAlignment="1" applyProtection="1">
      <alignment horizontal="center" wrapText="1"/>
    </xf>
    <xf numFmtId="4" fontId="85" fillId="8" borderId="3" xfId="0" applyNumberFormat="1" applyFont="1" applyFill="1" applyBorder="1" applyAlignment="1" applyProtection="1">
      <alignment horizontal="center" vertical="center" wrapText="1"/>
    </xf>
    <xf numFmtId="180" fontId="85" fillId="3" borderId="51" xfId="0" applyNumberFormat="1" applyFont="1" applyFill="1" applyBorder="1" applyAlignment="1" applyProtection="1">
      <alignment horizontal="center" vertical="center" wrapText="1"/>
    </xf>
    <xf numFmtId="4" fontId="85" fillId="3" borderId="29" xfId="0" applyNumberFormat="1" applyFont="1" applyFill="1" applyBorder="1" applyAlignment="1" applyProtection="1">
      <alignment vertical="center" wrapText="1"/>
    </xf>
    <xf numFmtId="4" fontId="124" fillId="3" borderId="0" xfId="0" applyNumberFormat="1" applyFont="1" applyFill="1" applyBorder="1" applyAlignment="1" applyProtection="1">
      <alignment horizontal="center" vertical="center" wrapText="1"/>
    </xf>
    <xf numFmtId="4" fontId="85" fillId="3" borderId="0" xfId="0" applyNumberFormat="1" applyFont="1" applyFill="1" applyBorder="1" applyAlignment="1" applyProtection="1">
      <alignment horizontal="left" vertical="center" wrapText="1"/>
    </xf>
    <xf numFmtId="4" fontId="85" fillId="3" borderId="0" xfId="0" applyNumberFormat="1" applyFont="1" applyFill="1" applyBorder="1" applyAlignment="1" applyProtection="1">
      <alignment vertical="center" wrapText="1"/>
    </xf>
    <xf numFmtId="4" fontId="2" fillId="0" borderId="3" xfId="0" applyNumberFormat="1" applyFont="1" applyFill="1" applyBorder="1" applyAlignment="1" applyProtection="1">
      <alignment horizontal="center" vertical="center" wrapText="1"/>
    </xf>
    <xf numFmtId="4" fontId="86" fillId="8" borderId="28" xfId="0" applyNumberFormat="1" applyFont="1" applyFill="1" applyBorder="1" applyAlignment="1" applyProtection="1">
      <alignment horizontal="center" vertical="center" wrapText="1"/>
    </xf>
    <xf numFmtId="0" fontId="85" fillId="0" borderId="28" xfId="0" applyFont="1" applyBorder="1" applyAlignment="1" applyProtection="1">
      <alignment horizontal="center" vertical="center" wrapText="1"/>
    </xf>
    <xf numFmtId="0" fontId="117" fillId="25" borderId="2" xfId="0" applyFont="1" applyFill="1" applyBorder="1" applyAlignment="1" applyProtection="1">
      <alignment horizontal="center" vertical="center" wrapText="1"/>
    </xf>
    <xf numFmtId="0" fontId="117" fillId="25" borderId="5" xfId="0" applyFont="1" applyFill="1" applyBorder="1" applyAlignment="1" applyProtection="1">
      <alignment horizontal="center" vertical="center" wrapText="1"/>
    </xf>
    <xf numFmtId="4" fontId="117" fillId="25" borderId="8" xfId="6" applyNumberFormat="1" applyFont="1" applyFill="1" applyBorder="1" applyAlignment="1" applyProtection="1">
      <alignment horizontal="center" vertical="center"/>
    </xf>
    <xf numFmtId="4" fontId="117" fillId="25" borderId="6" xfId="6" applyNumberFormat="1" applyFont="1" applyFill="1" applyBorder="1" applyAlignment="1" applyProtection="1">
      <alignment horizontal="center" vertical="center"/>
    </xf>
    <xf numFmtId="4" fontId="117" fillId="25" borderId="7" xfId="6" applyNumberFormat="1" applyFont="1" applyFill="1" applyBorder="1" applyAlignment="1" applyProtection="1">
      <alignment horizontal="center" vertical="center"/>
    </xf>
    <xf numFmtId="0" fontId="97" fillId="0" borderId="0" xfId="0" applyFont="1" applyBorder="1" applyAlignment="1" applyProtection="1">
      <alignment vertical="center" wrapText="1"/>
    </xf>
    <xf numFmtId="0" fontId="141" fillId="0" borderId="0" xfId="0" applyFont="1" applyBorder="1" applyAlignment="1" applyProtection="1">
      <alignment horizontal="center" wrapText="1"/>
    </xf>
    <xf numFmtId="180" fontId="80" fillId="3" borderId="0" xfId="0" applyNumberFormat="1" applyFont="1" applyFill="1" applyBorder="1" applyAlignment="1" applyProtection="1">
      <alignment horizontal="center" vertical="center" wrapText="1"/>
    </xf>
    <xf numFmtId="0" fontId="80" fillId="3" borderId="0" xfId="0" applyNumberFormat="1" applyFont="1" applyFill="1" applyBorder="1" applyAlignment="1" applyProtection="1">
      <alignment horizontal="center" vertical="center" wrapText="1"/>
    </xf>
    <xf numFmtId="4" fontId="80" fillId="3" borderId="0" xfId="0" applyNumberFormat="1" applyFont="1" applyFill="1" applyBorder="1" applyAlignment="1" applyProtection="1">
      <alignment vertical="center" wrapText="1"/>
    </xf>
    <xf numFmtId="4" fontId="0" fillId="0" borderId="0" xfId="0" applyNumberFormat="1" applyAlignment="1" applyProtection="1">
      <alignment wrapText="1"/>
    </xf>
    <xf numFmtId="0" fontId="91" fillId="0" borderId="0" xfId="0" applyFont="1" applyBorder="1" applyAlignment="1" applyProtection="1">
      <alignment horizontal="left" vertical="center" wrapText="1"/>
    </xf>
    <xf numFmtId="180" fontId="0" fillId="0" borderId="0" xfId="0" applyNumberFormat="1" applyAlignment="1" applyProtection="1">
      <alignment wrapText="1"/>
    </xf>
    <xf numFmtId="180" fontId="0" fillId="0" borderId="0" xfId="0" applyNumberFormat="1" applyBorder="1" applyAlignment="1" applyProtection="1">
      <alignment wrapText="1"/>
    </xf>
    <xf numFmtId="4" fontId="86" fillId="8" borderId="5" xfId="0" applyNumberFormat="1" applyFont="1" applyFill="1" applyBorder="1" applyAlignment="1" applyProtection="1">
      <alignment horizontal="center" vertical="center" wrapText="1"/>
    </xf>
    <xf numFmtId="0" fontId="81" fillId="3" borderId="57" xfId="0" applyFont="1" applyFill="1" applyBorder="1" applyAlignment="1" applyProtection="1">
      <alignment horizontal="center" vertical="center" wrapText="1"/>
    </xf>
    <xf numFmtId="0" fontId="142" fillId="3" borderId="0" xfId="0" applyFont="1" applyFill="1" applyBorder="1" applyAlignment="1" applyProtection="1">
      <alignment horizontal="center" vertical="center" wrapText="1"/>
    </xf>
    <xf numFmtId="4" fontId="85" fillId="3" borderId="15" xfId="0" applyNumberFormat="1" applyFont="1" applyFill="1" applyBorder="1" applyAlignment="1" applyProtection="1">
      <alignment horizontal="center" vertical="center" wrapText="1"/>
    </xf>
    <xf numFmtId="4" fontId="85" fillId="3" borderId="9" xfId="0" applyNumberFormat="1" applyFont="1" applyFill="1" applyBorder="1" applyAlignment="1" applyProtection="1">
      <alignment horizontal="center" vertical="center" wrapText="1"/>
    </xf>
    <xf numFmtId="0" fontId="143" fillId="25" borderId="5" xfId="0" applyFont="1" applyFill="1" applyBorder="1" applyAlignment="1" applyProtection="1">
      <alignment wrapText="1"/>
    </xf>
    <xf numFmtId="180" fontId="85" fillId="3" borderId="14" xfId="0" applyNumberFormat="1" applyFont="1" applyFill="1" applyBorder="1" applyAlignment="1" applyProtection="1">
      <alignment horizontal="center" vertical="center" wrapText="1"/>
    </xf>
    <xf numFmtId="180" fontId="85" fillId="8" borderId="59" xfId="0" applyNumberFormat="1" applyFont="1" applyFill="1" applyBorder="1" applyAlignment="1" applyProtection="1">
      <alignment horizontal="center" vertical="center" wrapText="1"/>
    </xf>
    <xf numFmtId="4" fontId="85" fillId="8" borderId="24" xfId="0" applyNumberFormat="1" applyFont="1" applyFill="1" applyBorder="1" applyAlignment="1" applyProtection="1">
      <alignment horizontal="center" vertical="center" wrapText="1"/>
    </xf>
    <xf numFmtId="4" fontId="85" fillId="0" borderId="11" xfId="0" applyNumberFormat="1" applyFont="1" applyBorder="1" applyAlignment="1" applyProtection="1">
      <alignment horizontal="center" vertical="center" wrapText="1"/>
    </xf>
    <xf numFmtId="4" fontId="85" fillId="0" borderId="32" xfId="0" applyNumberFormat="1" applyFont="1" applyBorder="1" applyAlignment="1" applyProtection="1">
      <alignment horizontal="center" vertical="center" wrapText="1"/>
    </xf>
    <xf numFmtId="4" fontId="117" fillId="35" borderId="11" xfId="0" applyNumberFormat="1" applyFont="1" applyFill="1" applyBorder="1" applyAlignment="1" applyProtection="1">
      <alignment horizontal="center" vertical="center" wrapText="1"/>
    </xf>
    <xf numFmtId="4" fontId="85" fillId="0" borderId="0" xfId="0" applyNumberFormat="1" applyFont="1" applyBorder="1" applyAlignment="1" applyProtection="1">
      <alignment horizontal="center" vertical="center" wrapText="1"/>
    </xf>
    <xf numFmtId="180" fontId="85" fillId="8" borderId="13" xfId="0" applyNumberFormat="1" applyFont="1" applyFill="1" applyBorder="1" applyAlignment="1" applyProtection="1">
      <alignment horizontal="center" vertical="center" wrapText="1"/>
    </xf>
    <xf numFmtId="49" fontId="85" fillId="0" borderId="44" xfId="0" applyNumberFormat="1" applyFont="1" applyBorder="1" applyAlignment="1" applyProtection="1">
      <alignment horizontal="center" vertical="center" wrapText="1"/>
    </xf>
    <xf numFmtId="49" fontId="85" fillId="0" borderId="61" xfId="0" applyNumberFormat="1" applyFont="1" applyBorder="1" applyAlignment="1" applyProtection="1">
      <alignment horizontal="center" vertical="center" wrapText="1"/>
    </xf>
    <xf numFmtId="4" fontId="117" fillId="25" borderId="15" xfId="0" applyNumberFormat="1" applyFont="1" applyFill="1" applyBorder="1" applyAlignment="1" applyProtection="1">
      <alignment horizontal="center" vertical="center" wrapText="1"/>
    </xf>
    <xf numFmtId="4" fontId="117" fillId="25" borderId="52" xfId="0" applyNumberFormat="1" applyFont="1" applyFill="1" applyBorder="1" applyAlignment="1" applyProtection="1">
      <alignment horizontal="center" vertical="center" wrapText="1"/>
    </xf>
    <xf numFmtId="4" fontId="117" fillId="25" borderId="28" xfId="0" applyNumberFormat="1" applyFont="1" applyFill="1" applyBorder="1" applyAlignment="1" applyProtection="1">
      <alignment horizontal="center" vertical="center" wrapText="1"/>
    </xf>
    <xf numFmtId="4" fontId="86" fillId="8" borderId="9" xfId="0" applyNumberFormat="1" applyFont="1" applyFill="1" applyBorder="1" applyAlignment="1" applyProtection="1">
      <alignment horizontal="center" vertical="center" wrapText="1"/>
    </xf>
    <xf numFmtId="4" fontId="117" fillId="25" borderId="63" xfId="0" applyNumberFormat="1" applyFont="1" applyFill="1" applyBorder="1" applyAlignment="1" applyProtection="1">
      <alignment horizontal="center" vertical="center" wrapText="1"/>
    </xf>
    <xf numFmtId="180" fontId="117" fillId="25" borderId="27" xfId="0" applyNumberFormat="1" applyFont="1" applyFill="1" applyBorder="1" applyAlignment="1" applyProtection="1">
      <alignment horizontal="center" vertical="center" wrapText="1"/>
    </xf>
    <xf numFmtId="180" fontId="117" fillId="25" borderId="13" xfId="0" applyNumberFormat="1" applyFont="1" applyFill="1" applyBorder="1" applyAlignment="1" applyProtection="1">
      <alignment horizontal="center" vertical="center" wrapText="1"/>
    </xf>
    <xf numFmtId="180" fontId="117" fillId="8" borderId="59" xfId="0" applyNumberFormat="1" applyFont="1" applyFill="1" applyBorder="1" applyAlignment="1" applyProtection="1">
      <alignment horizontal="center" vertical="center" wrapText="1"/>
    </xf>
    <xf numFmtId="180" fontId="117" fillId="25" borderId="14" xfId="0" applyNumberFormat="1" applyFont="1" applyFill="1" applyBorder="1" applyAlignment="1" applyProtection="1">
      <alignment horizontal="center" vertical="center" wrapText="1"/>
    </xf>
    <xf numFmtId="180" fontId="117" fillId="25" borderId="56" xfId="0" applyNumberFormat="1" applyFont="1" applyFill="1" applyBorder="1" applyAlignment="1" applyProtection="1">
      <alignment horizontal="center" vertical="center" wrapText="1"/>
    </xf>
    <xf numFmtId="180" fontId="117" fillId="8" borderId="51" xfId="0" applyNumberFormat="1" applyFont="1" applyFill="1" applyBorder="1" applyAlignment="1" applyProtection="1">
      <alignment horizontal="center" vertical="center" wrapText="1"/>
    </xf>
    <xf numFmtId="0" fontId="85" fillId="0" borderId="0" xfId="0" applyFont="1" applyFill="1" applyBorder="1" applyAlignment="1" applyProtection="1">
      <alignment horizontal="center" vertical="center" wrapText="1"/>
    </xf>
    <xf numFmtId="0" fontId="117" fillId="0" borderId="0" xfId="0" applyFont="1" applyFill="1" applyBorder="1" applyAlignment="1" applyProtection="1">
      <alignment horizontal="left" vertical="center" wrapText="1"/>
    </xf>
    <xf numFmtId="180" fontId="117" fillId="25" borderId="0" xfId="0" applyNumberFormat="1" applyFont="1" applyFill="1" applyBorder="1" applyAlignment="1" applyProtection="1">
      <alignment horizontal="center" vertical="center" wrapText="1"/>
    </xf>
    <xf numFmtId="180" fontId="117" fillId="0" borderId="0" xfId="0" applyNumberFormat="1" applyFont="1" applyFill="1" applyBorder="1" applyAlignment="1" applyProtection="1">
      <alignment horizontal="center" vertical="center" wrapText="1"/>
    </xf>
    <xf numFmtId="180" fontId="85" fillId="0" borderId="0" xfId="0" applyNumberFormat="1" applyFont="1" applyFill="1" applyBorder="1" applyAlignment="1" applyProtection="1">
      <alignment horizontal="center" vertical="center" wrapText="1"/>
    </xf>
    <xf numFmtId="0" fontId="0" fillId="0" borderId="0" xfId="0" applyFill="1" applyBorder="1" applyProtection="1"/>
    <xf numFmtId="0" fontId="107" fillId="33" borderId="0" xfId="0" applyFont="1" applyFill="1" applyProtection="1"/>
    <xf numFmtId="4" fontId="139" fillId="25" borderId="3" xfId="0" applyNumberFormat="1" applyFont="1" applyFill="1" applyBorder="1" applyAlignment="1" applyProtection="1">
      <alignment horizontal="center" vertical="center" wrapText="1"/>
    </xf>
    <xf numFmtId="0" fontId="0" fillId="33" borderId="3" xfId="0" applyFill="1" applyBorder="1" applyProtection="1"/>
    <xf numFmtId="180" fontId="139" fillId="25" borderId="6" xfId="0" applyNumberFormat="1" applyFont="1" applyFill="1" applyBorder="1" applyAlignment="1" applyProtection="1">
      <alignment horizontal="center" vertical="center" wrapText="1"/>
    </xf>
    <xf numFmtId="0" fontId="0" fillId="0" borderId="6" xfId="0" applyBorder="1" applyProtection="1"/>
    <xf numFmtId="0" fontId="136" fillId="25" borderId="3" xfId="0" applyFont="1" applyFill="1" applyBorder="1" applyAlignment="1" applyProtection="1">
      <alignment horizontal="center" vertical="center" wrapText="1"/>
    </xf>
    <xf numFmtId="0" fontId="117" fillId="25" borderId="3" xfId="0" applyFont="1" applyFill="1" applyBorder="1" applyAlignment="1" applyProtection="1">
      <alignment horizontal="center" vertical="center" wrapText="1"/>
    </xf>
    <xf numFmtId="180" fontId="117" fillId="25" borderId="3" xfId="0" applyNumberFormat="1" applyFont="1" applyFill="1" applyBorder="1" applyAlignment="1" applyProtection="1">
      <alignment horizontal="center" vertical="center" wrapText="1"/>
    </xf>
    <xf numFmtId="180" fontId="136" fillId="25" borderId="3" xfId="0" applyNumberFormat="1" applyFont="1" applyFill="1" applyBorder="1" applyAlignment="1" applyProtection="1">
      <alignment horizontal="center" vertical="center" wrapText="1"/>
    </xf>
    <xf numFmtId="180" fontId="136" fillId="25" borderId="4" xfId="0" applyNumberFormat="1" applyFont="1" applyFill="1" applyBorder="1" applyAlignment="1" applyProtection="1">
      <alignment horizontal="center" vertical="center" wrapText="1"/>
    </xf>
    <xf numFmtId="0" fontId="0" fillId="0" borderId="0" xfId="0" applyFill="1" applyProtection="1"/>
    <xf numFmtId="0" fontId="0" fillId="0" borderId="0" xfId="0" applyFill="1" applyAlignment="1" applyProtection="1">
      <alignment wrapText="1"/>
    </xf>
    <xf numFmtId="0" fontId="85" fillId="3" borderId="64" xfId="0" applyFont="1" applyFill="1" applyBorder="1" applyAlignment="1" applyProtection="1">
      <alignment horizontal="center" vertical="center" wrapText="1"/>
    </xf>
    <xf numFmtId="181" fontId="85" fillId="19" borderId="0" xfId="0" applyNumberFormat="1" applyFont="1" applyFill="1" applyAlignment="1" applyProtection="1">
      <alignment wrapText="1"/>
    </xf>
    <xf numFmtId="181" fontId="85" fillId="0" borderId="0" xfId="0" applyNumberFormat="1" applyFont="1" applyAlignment="1" applyProtection="1">
      <alignment wrapText="1"/>
    </xf>
    <xf numFmtId="0" fontId="85" fillId="3" borderId="65" xfId="0" applyFont="1" applyFill="1" applyBorder="1" applyAlignment="1" applyProtection="1">
      <alignment horizontal="center" vertical="center" wrapText="1"/>
    </xf>
    <xf numFmtId="182" fontId="85" fillId="0" borderId="7" xfId="0" applyNumberFormat="1" applyFont="1" applyBorder="1" applyAlignment="1" applyProtection="1">
      <alignment horizontal="center" vertical="center" wrapText="1"/>
    </xf>
    <xf numFmtId="0" fontId="85" fillId="3" borderId="0" xfId="0" applyFont="1" applyFill="1" applyAlignment="1" applyProtection="1">
      <alignment wrapText="1"/>
    </xf>
    <xf numFmtId="0" fontId="85" fillId="3" borderId="61" xfId="0" applyFont="1" applyFill="1" applyBorder="1" applyAlignment="1" applyProtection="1">
      <alignment horizontal="center" vertical="center" wrapText="1"/>
    </xf>
    <xf numFmtId="0" fontId="85" fillId="0" borderId="4" xfId="0" applyFont="1" applyBorder="1" applyAlignment="1" applyProtection="1">
      <alignment horizontal="center" vertical="center" wrapText="1"/>
    </xf>
    <xf numFmtId="1" fontId="85" fillId="0" borderId="6" xfId="0" applyNumberFormat="1" applyFont="1" applyBorder="1" applyAlignment="1" applyProtection="1">
      <alignment horizontal="center" vertical="center" wrapText="1"/>
    </xf>
    <xf numFmtId="1" fontId="85" fillId="0" borderId="7" xfId="0" applyNumberFormat="1" applyFont="1" applyBorder="1" applyAlignment="1" applyProtection="1">
      <alignment horizontal="center" vertical="center" wrapText="1"/>
    </xf>
    <xf numFmtId="0" fontId="85" fillId="8" borderId="0" xfId="0" applyFont="1" applyFill="1" applyBorder="1" applyAlignment="1" applyProtection="1">
      <alignment vertical="center" wrapText="1"/>
    </xf>
    <xf numFmtId="0" fontId="85" fillId="29" borderId="0" xfId="0" applyFont="1" applyFill="1" applyBorder="1" applyAlignment="1" applyProtection="1">
      <alignment vertical="center" wrapText="1"/>
    </xf>
    <xf numFmtId="0" fontId="85" fillId="19" borderId="0" xfId="0" applyFont="1" applyFill="1" applyBorder="1" applyAlignment="1" applyProtection="1">
      <alignment vertical="center" wrapText="1"/>
    </xf>
    <xf numFmtId="4" fontId="85" fillId="0" borderId="12" xfId="0" applyNumberFormat="1" applyFont="1" applyBorder="1" applyAlignment="1" applyProtection="1">
      <alignment horizontal="center" vertical="center" wrapText="1"/>
    </xf>
    <xf numFmtId="4" fontId="80" fillId="0" borderId="0" xfId="0" applyNumberFormat="1" applyFont="1" applyBorder="1" applyAlignment="1" applyProtection="1">
      <alignment horizontal="center" vertical="center" wrapText="1"/>
    </xf>
    <xf numFmtId="4" fontId="80" fillId="3" borderId="0" xfId="0" applyNumberFormat="1" applyFont="1" applyFill="1" applyBorder="1" applyAlignment="1" applyProtection="1">
      <alignment wrapText="1"/>
    </xf>
    <xf numFmtId="4" fontId="85" fillId="8" borderId="52" xfId="0" applyNumberFormat="1" applyFont="1" applyFill="1" applyBorder="1" applyAlignment="1" applyProtection="1">
      <alignment horizontal="center" vertical="center" wrapText="1"/>
    </xf>
    <xf numFmtId="4" fontId="116" fillId="3" borderId="15" xfId="0" applyNumberFormat="1" applyFont="1" applyFill="1" applyBorder="1" applyAlignment="1" applyProtection="1">
      <alignment horizontal="center" vertical="center" wrapText="1"/>
    </xf>
    <xf numFmtId="4" fontId="116" fillId="3" borderId="4" xfId="0" applyNumberFormat="1" applyFont="1" applyFill="1" applyBorder="1" applyAlignment="1" applyProtection="1">
      <alignment horizontal="center" vertical="center" wrapText="1"/>
    </xf>
    <xf numFmtId="0" fontId="80" fillId="0" borderId="0" xfId="0" applyFont="1" applyBorder="1" applyAlignment="1" applyProtection="1">
      <alignment horizontal="center" vertical="center" wrapText="1"/>
    </xf>
    <xf numFmtId="180" fontId="85" fillId="8" borderId="56" xfId="0" applyNumberFormat="1" applyFont="1" applyFill="1" applyBorder="1" applyAlignment="1" applyProtection="1">
      <alignment horizontal="center" vertical="center" wrapText="1"/>
    </xf>
    <xf numFmtId="180" fontId="116" fillId="3" borderId="8" xfId="0" applyNumberFormat="1" applyFont="1" applyFill="1" applyBorder="1" applyAlignment="1" applyProtection="1">
      <alignment horizontal="center" vertical="center" wrapText="1"/>
    </xf>
    <xf numFmtId="180" fontId="116" fillId="3" borderId="7" xfId="0" applyNumberFormat="1" applyFont="1" applyFill="1" applyBorder="1" applyAlignment="1" applyProtection="1">
      <alignment horizontal="center" vertical="center" wrapText="1"/>
    </xf>
    <xf numFmtId="4" fontId="117" fillId="8" borderId="4" xfId="0" applyNumberFormat="1" applyFont="1" applyFill="1" applyBorder="1" applyAlignment="1" applyProtection="1">
      <alignment horizontal="center" vertical="center" wrapText="1"/>
    </xf>
    <xf numFmtId="180" fontId="117" fillId="8" borderId="7" xfId="0" applyNumberFormat="1" applyFont="1" applyFill="1" applyBorder="1" applyAlignment="1" applyProtection="1">
      <alignment horizontal="center" vertical="center" wrapText="1"/>
    </xf>
    <xf numFmtId="0" fontId="80" fillId="0" borderId="0" xfId="0" applyFont="1" applyBorder="1" applyAlignment="1" applyProtection="1">
      <alignment horizontal="center" wrapText="1"/>
    </xf>
    <xf numFmtId="3" fontId="85" fillId="3" borderId="12" xfId="0" applyNumberFormat="1" applyFont="1" applyFill="1" applyBorder="1" applyAlignment="1" applyProtection="1">
      <alignment horizontal="center" vertical="center" wrapText="1"/>
    </xf>
    <xf numFmtId="4" fontId="85" fillId="3" borderId="13" xfId="0" applyNumberFormat="1" applyFont="1" applyFill="1" applyBorder="1" applyAlignment="1" applyProtection="1">
      <alignment horizontal="center" vertical="center" wrapText="1"/>
    </xf>
    <xf numFmtId="3" fontId="85" fillId="3" borderId="19" xfId="0" applyNumberFormat="1" applyFont="1" applyFill="1" applyBorder="1" applyAlignment="1" applyProtection="1">
      <alignment horizontal="center" vertical="center" wrapText="1"/>
    </xf>
    <xf numFmtId="3" fontId="85" fillId="0" borderId="4" xfId="0" applyNumberFormat="1" applyFont="1" applyFill="1" applyBorder="1" applyAlignment="1" applyProtection="1">
      <alignment horizontal="center" vertical="center" wrapText="1"/>
    </xf>
    <xf numFmtId="4" fontId="85" fillId="0" borderId="6" xfId="0" applyNumberFormat="1" applyFont="1" applyFill="1" applyBorder="1" applyAlignment="1" applyProtection="1">
      <alignment horizontal="center" vertical="center" wrapText="1"/>
    </xf>
    <xf numFmtId="3" fontId="85" fillId="0" borderId="7" xfId="0" applyNumberFormat="1" applyFont="1" applyFill="1" applyBorder="1" applyAlignment="1" applyProtection="1">
      <alignment horizontal="center" vertical="center" wrapText="1"/>
    </xf>
    <xf numFmtId="4" fontId="85" fillId="0" borderId="11" xfId="0" applyNumberFormat="1" applyFont="1" applyFill="1" applyBorder="1" applyAlignment="1" applyProtection="1">
      <alignment horizontal="center" vertical="center" wrapText="1"/>
    </xf>
    <xf numFmtId="3" fontId="85" fillId="0" borderId="12" xfId="0" applyNumberFormat="1" applyFont="1" applyFill="1" applyBorder="1" applyAlignment="1" applyProtection="1">
      <alignment horizontal="center" vertical="center" wrapText="1"/>
    </xf>
    <xf numFmtId="180" fontId="85" fillId="0" borderId="6" xfId="0" applyNumberFormat="1" applyFont="1" applyFill="1" applyBorder="1" applyAlignment="1" applyProtection="1">
      <alignment horizontal="center" vertical="center" wrapText="1"/>
    </xf>
    <xf numFmtId="3" fontId="85" fillId="3" borderId="4" xfId="0" applyNumberFormat="1" applyFont="1" applyFill="1" applyBorder="1" applyAlignment="1" applyProtection="1">
      <alignment horizontal="center" vertical="center" wrapText="1"/>
    </xf>
    <xf numFmtId="3" fontId="85" fillId="3" borderId="7" xfId="0" applyNumberFormat="1" applyFont="1" applyFill="1" applyBorder="1" applyAlignment="1" applyProtection="1">
      <alignment horizontal="center" vertical="center" wrapText="1"/>
    </xf>
    <xf numFmtId="180" fontId="85" fillId="0" borderId="13" xfId="0" applyNumberFormat="1" applyFont="1" applyFill="1" applyBorder="1" applyAlignment="1" applyProtection="1">
      <alignment horizontal="center" vertical="center" wrapText="1"/>
    </xf>
    <xf numFmtId="4" fontId="85" fillId="0" borderId="13" xfId="0" applyNumberFormat="1" applyFont="1" applyFill="1" applyBorder="1" applyAlignment="1" applyProtection="1">
      <alignment horizontal="center" vertical="center" wrapText="1"/>
    </xf>
    <xf numFmtId="3" fontId="85" fillId="0" borderId="19" xfId="0" applyNumberFormat="1" applyFont="1" applyFill="1" applyBorder="1" applyAlignment="1" applyProtection="1">
      <alignment horizontal="center" vertical="center" wrapText="1"/>
    </xf>
    <xf numFmtId="0" fontId="85" fillId="3" borderId="44" xfId="0" applyFont="1" applyFill="1" applyBorder="1" applyAlignment="1" applyProtection="1">
      <alignment horizontal="center" vertical="center" wrapText="1"/>
    </xf>
    <xf numFmtId="0" fontId="85" fillId="0" borderId="31" xfId="0" applyFont="1" applyFill="1" applyBorder="1" applyAlignment="1" applyProtection="1">
      <alignment horizontal="left" vertical="center" wrapText="1"/>
    </xf>
    <xf numFmtId="180" fontId="85" fillId="0" borderId="31" xfId="0" applyNumberFormat="1" applyFont="1" applyFill="1" applyBorder="1" applyAlignment="1" applyProtection="1">
      <alignment horizontal="center" vertical="center" wrapText="1"/>
    </xf>
    <xf numFmtId="4" fontId="85" fillId="0" borderId="54" xfId="0" applyNumberFormat="1" applyFont="1" applyFill="1" applyBorder="1" applyAlignment="1" applyProtection="1">
      <alignment horizontal="center" vertical="center" wrapText="1"/>
    </xf>
    <xf numFmtId="3" fontId="117" fillId="3" borderId="0" xfId="0" applyNumberFormat="1" applyFont="1" applyFill="1" applyBorder="1" applyAlignment="1" applyProtection="1">
      <alignment vertical="center" wrapText="1"/>
    </xf>
    <xf numFmtId="4" fontId="117" fillId="3" borderId="0" xfId="0" applyNumberFormat="1" applyFont="1" applyFill="1" applyBorder="1" applyAlignment="1" applyProtection="1">
      <alignment horizontal="center" vertical="center" wrapText="1"/>
    </xf>
    <xf numFmtId="3" fontId="85" fillId="3" borderId="6" xfId="0" applyNumberFormat="1" applyFont="1" applyFill="1" applyBorder="1" applyAlignment="1" applyProtection="1">
      <alignment horizontal="center" vertical="center" wrapText="1"/>
    </xf>
    <xf numFmtId="4" fontId="117" fillId="25" borderId="6" xfId="0" applyNumberFormat="1" applyFont="1" applyFill="1" applyBorder="1" applyAlignment="1" applyProtection="1">
      <alignment horizontal="center" vertical="center" wrapText="1"/>
    </xf>
    <xf numFmtId="0" fontId="107" fillId="0" borderId="0" xfId="0" applyFont="1" applyProtection="1"/>
    <xf numFmtId="16" fontId="2" fillId="25" borderId="1" xfId="6" applyNumberFormat="1" applyFont="1" applyFill="1" applyBorder="1" applyAlignment="1" applyProtection="1">
      <alignment horizontal="center" vertical="center"/>
    </xf>
    <xf numFmtId="16" fontId="2" fillId="25" borderId="5" xfId="6" applyNumberFormat="1" applyFont="1" applyFill="1" applyBorder="1" applyAlignment="1" applyProtection="1">
      <alignment horizontal="center" vertical="center"/>
    </xf>
    <xf numFmtId="0" fontId="82" fillId="0" borderId="0" xfId="0" applyFont="1" applyFill="1" applyAlignment="1" applyProtection="1">
      <alignment wrapText="1"/>
      <protection hidden="1"/>
    </xf>
    <xf numFmtId="183" fontId="103" fillId="6" borderId="1" xfId="0" applyNumberFormat="1" applyFont="1" applyFill="1" applyBorder="1" applyAlignment="1" applyProtection="1"/>
    <xf numFmtId="191" fontId="102" fillId="6" borderId="5" xfId="0" applyNumberFormat="1" applyFont="1" applyFill="1" applyBorder="1" applyProtection="1"/>
    <xf numFmtId="214" fontId="2" fillId="8" borderId="6" xfId="6" applyNumberFormat="1" applyFont="1" applyFill="1" applyBorder="1" applyAlignment="1" applyProtection="1">
      <alignment horizontal="center" vertical="center" wrapText="1"/>
    </xf>
    <xf numFmtId="0" fontId="107" fillId="0" borderId="0" xfId="0" applyFont="1" applyBorder="1" applyAlignment="1">
      <alignment horizontal="center"/>
    </xf>
    <xf numFmtId="180" fontId="117" fillId="25" borderId="44" xfId="0" applyNumberFormat="1" applyFont="1" applyFill="1" applyBorder="1" applyAlignment="1" applyProtection="1">
      <alignment horizontal="center" vertical="center" wrapText="1"/>
    </xf>
    <xf numFmtId="180" fontId="117" fillId="25" borderId="29" xfId="0" applyNumberFormat="1" applyFont="1" applyFill="1" applyBorder="1" applyAlignment="1" applyProtection="1">
      <alignment horizontal="center" vertical="center" wrapText="1"/>
    </xf>
    <xf numFmtId="180" fontId="117" fillId="25" borderId="62" xfId="0" applyNumberFormat="1" applyFont="1" applyFill="1" applyBorder="1" applyAlignment="1" applyProtection="1">
      <alignment horizontal="center" vertical="center" wrapText="1"/>
    </xf>
    <xf numFmtId="0" fontId="85" fillId="0" borderId="15" xfId="0" applyFont="1" applyBorder="1" applyAlignment="1" applyProtection="1">
      <alignment horizontal="center" vertical="center" wrapText="1"/>
    </xf>
    <xf numFmtId="0" fontId="85" fillId="0" borderId="3" xfId="0" applyFont="1" applyBorder="1" applyAlignment="1" applyProtection="1">
      <alignment horizontal="center" vertical="center" wrapText="1"/>
    </xf>
    <xf numFmtId="0" fontId="85" fillId="0" borderId="4" xfId="0" applyFont="1" applyBorder="1" applyAlignment="1" applyProtection="1">
      <alignment horizontal="center" vertical="center" wrapText="1"/>
    </xf>
    <xf numFmtId="0" fontId="85" fillId="0" borderId="52" xfId="0" applyFont="1" applyBorder="1" applyAlignment="1" applyProtection="1">
      <alignment horizontal="center" vertical="center" wrapText="1"/>
    </xf>
    <xf numFmtId="0" fontId="85" fillId="0" borderId="28" xfId="0" applyFont="1" applyBorder="1" applyAlignment="1" applyProtection="1">
      <alignment horizontal="center" vertical="center" wrapText="1"/>
    </xf>
    <xf numFmtId="4" fontId="85" fillId="3" borderId="0" xfId="0" applyNumberFormat="1" applyFont="1" applyFill="1" applyBorder="1" applyAlignment="1" applyProtection="1">
      <alignment horizontal="center" vertical="center" wrapText="1"/>
    </xf>
    <xf numFmtId="4" fontId="2" fillId="3" borderId="47" xfId="6" applyNumberFormat="1" applyFont="1" applyFill="1" applyBorder="1" applyAlignment="1" applyProtection="1">
      <alignment horizontal="center" vertical="center" wrapText="1"/>
    </xf>
    <xf numFmtId="4" fontId="2" fillId="3" borderId="70" xfId="6" applyNumberFormat="1" applyFont="1" applyFill="1" applyBorder="1" applyAlignment="1" applyProtection="1">
      <alignment horizontal="center" vertical="center" wrapText="1"/>
    </xf>
    <xf numFmtId="4" fontId="2" fillId="3" borderId="35" xfId="6" applyNumberFormat="1" applyFont="1" applyFill="1" applyBorder="1" applyAlignment="1" applyProtection="1">
      <alignment horizontal="center" vertical="center" wrapText="1"/>
    </xf>
    <xf numFmtId="0" fontId="85" fillId="3" borderId="15" xfId="0" applyFont="1" applyFill="1" applyBorder="1" applyAlignment="1" applyProtection="1">
      <alignment horizontal="center" vertical="center" wrapText="1"/>
    </xf>
    <xf numFmtId="0" fontId="85" fillId="3" borderId="28" xfId="0" applyFont="1" applyFill="1" applyBorder="1" applyAlignment="1" applyProtection="1">
      <alignment horizontal="center" vertical="center" wrapText="1"/>
    </xf>
    <xf numFmtId="4" fontId="85" fillId="3" borderId="15" xfId="0" applyNumberFormat="1" applyFont="1" applyFill="1" applyBorder="1" applyAlignment="1" applyProtection="1">
      <alignment horizontal="center" vertical="center" wrapText="1"/>
    </xf>
    <xf numFmtId="4" fontId="85" fillId="3" borderId="28" xfId="0" applyNumberFormat="1" applyFont="1" applyFill="1" applyBorder="1" applyAlignment="1" applyProtection="1">
      <alignment horizontal="center" vertical="center" wrapText="1"/>
    </xf>
    <xf numFmtId="4" fontId="117" fillId="25" borderId="15" xfId="0" applyNumberFormat="1" applyFont="1" applyFill="1" applyBorder="1" applyAlignment="1" applyProtection="1">
      <alignment horizontal="center" vertical="center" wrapText="1"/>
    </xf>
    <xf numFmtId="4" fontId="117" fillId="25" borderId="3" xfId="0" applyNumberFormat="1" applyFont="1" applyFill="1" applyBorder="1" applyAlignment="1" applyProtection="1">
      <alignment horizontal="center" vertical="center" wrapText="1"/>
    </xf>
    <xf numFmtId="4" fontId="117" fillId="25" borderId="4" xfId="0" applyNumberFormat="1" applyFont="1" applyFill="1" applyBorder="1" applyAlignment="1" applyProtection="1">
      <alignment horizontal="center" vertical="center" wrapText="1"/>
    </xf>
    <xf numFmtId="4" fontId="85" fillId="3" borderId="1" xfId="0" applyNumberFormat="1" applyFont="1" applyFill="1" applyBorder="1" applyAlignment="1" applyProtection="1">
      <alignment horizontal="center" vertical="center" wrapText="1"/>
    </xf>
    <xf numFmtId="0" fontId="146" fillId="25" borderId="3" xfId="0" applyFont="1" applyFill="1" applyBorder="1" applyAlignment="1" applyProtection="1">
      <alignment horizontal="center" vertical="center" wrapText="1"/>
    </xf>
    <xf numFmtId="180" fontId="117" fillId="0" borderId="44" xfId="0" applyNumberFormat="1" applyFont="1" applyFill="1" applyBorder="1" applyAlignment="1" applyProtection="1">
      <alignment horizontal="center" vertical="center" wrapText="1"/>
    </xf>
    <xf numFmtId="180" fontId="117" fillId="0" borderId="29" xfId="0" applyNumberFormat="1" applyFont="1" applyFill="1" applyBorder="1" applyAlignment="1" applyProtection="1">
      <alignment horizontal="center" vertical="center" wrapText="1"/>
    </xf>
    <xf numFmtId="180" fontId="117" fillId="0" borderId="62" xfId="0" applyNumberFormat="1" applyFont="1" applyFill="1" applyBorder="1" applyAlignment="1" applyProtection="1">
      <alignment horizontal="center" vertical="center" wrapText="1"/>
    </xf>
    <xf numFmtId="0" fontId="85" fillId="3" borderId="71" xfId="0" applyFont="1" applyFill="1" applyBorder="1" applyAlignment="1" applyProtection="1">
      <alignment horizontal="center" vertical="center" wrapText="1"/>
    </xf>
    <xf numFmtId="0" fontId="85" fillId="3" borderId="37" xfId="0" applyFont="1" applyFill="1" applyBorder="1" applyAlignment="1" applyProtection="1">
      <alignment horizontal="center" vertical="center" wrapText="1"/>
    </xf>
    <xf numFmtId="0" fontId="85" fillId="3" borderId="33" xfId="0" applyFont="1" applyFill="1" applyBorder="1" applyAlignment="1" applyProtection="1">
      <alignment horizontal="center" vertical="center" wrapText="1"/>
    </xf>
    <xf numFmtId="180" fontId="117" fillId="25" borderId="30" xfId="0" applyNumberFormat="1" applyFont="1" applyFill="1" applyBorder="1" applyAlignment="1" applyProtection="1">
      <alignment horizontal="center" vertical="center" wrapText="1"/>
    </xf>
    <xf numFmtId="180" fontId="117" fillId="25" borderId="31" xfId="0" applyNumberFormat="1" applyFont="1" applyFill="1" applyBorder="1" applyAlignment="1" applyProtection="1">
      <alignment horizontal="center" vertical="center" wrapText="1"/>
    </xf>
    <xf numFmtId="180" fontId="117" fillId="25" borderId="10" xfId="0" applyNumberFormat="1" applyFont="1" applyFill="1" applyBorder="1" applyAlignment="1" applyProtection="1">
      <alignment horizontal="center" vertical="center" wrapText="1"/>
    </xf>
    <xf numFmtId="4" fontId="2" fillId="3" borderId="6" xfId="6" applyNumberFormat="1" applyFont="1" applyFill="1" applyBorder="1" applyAlignment="1" applyProtection="1">
      <alignment horizontal="center" vertical="center" wrapText="1"/>
      <protection hidden="1"/>
    </xf>
    <xf numFmtId="0" fontId="85" fillId="25" borderId="15" xfId="0" applyFont="1" applyFill="1" applyBorder="1" applyAlignment="1" applyProtection="1">
      <alignment horizontal="center" vertical="center" wrapText="1"/>
    </xf>
    <xf numFmtId="0" fontId="85" fillId="25" borderId="8" xfId="0" applyFont="1" applyFill="1" applyBorder="1" applyAlignment="1" applyProtection="1">
      <alignment horizontal="center" vertical="center" wrapText="1"/>
    </xf>
    <xf numFmtId="0" fontId="85" fillId="3" borderId="3" xfId="0" applyFont="1" applyFill="1" applyBorder="1" applyAlignment="1" applyProtection="1">
      <alignment horizontal="center" vertical="center" wrapText="1"/>
    </xf>
    <xf numFmtId="0" fontId="85" fillId="3" borderId="6" xfId="0" applyFont="1" applyFill="1" applyBorder="1" applyAlignment="1" applyProtection="1">
      <alignment horizontal="center" vertical="center" wrapText="1"/>
    </xf>
    <xf numFmtId="0" fontId="85" fillId="0" borderId="6" xfId="0" applyFont="1" applyBorder="1" applyAlignment="1" applyProtection="1">
      <alignment horizontal="center" vertical="center" wrapText="1"/>
    </xf>
    <xf numFmtId="4" fontId="2" fillId="3" borderId="28" xfId="6" applyNumberFormat="1" applyFont="1" applyFill="1" applyBorder="1" applyAlignment="1" applyProtection="1">
      <alignment horizontal="center" vertical="center" wrapText="1"/>
    </xf>
    <xf numFmtId="4" fontId="2" fillId="3" borderId="24" xfId="6" applyNumberFormat="1" applyFont="1" applyFill="1" applyBorder="1" applyAlignment="1" applyProtection="1">
      <alignment horizontal="center" vertical="center" wrapText="1"/>
    </xf>
    <xf numFmtId="4" fontId="2" fillId="3" borderId="30" xfId="6" applyNumberFormat="1" applyFont="1" applyFill="1" applyBorder="1" applyAlignment="1" applyProtection="1">
      <alignment horizontal="center" vertical="center" wrapText="1"/>
    </xf>
    <xf numFmtId="4" fontId="2" fillId="3" borderId="31" xfId="6" applyNumberFormat="1" applyFont="1" applyFill="1" applyBorder="1" applyAlignment="1" applyProtection="1">
      <alignment horizontal="center" vertical="center" wrapText="1"/>
    </xf>
    <xf numFmtId="4" fontId="2" fillId="3" borderId="54" xfId="6" applyNumberFormat="1" applyFont="1" applyFill="1" applyBorder="1" applyAlignment="1" applyProtection="1">
      <alignment horizontal="center" vertical="center" wrapText="1"/>
    </xf>
    <xf numFmtId="4" fontId="85" fillId="3" borderId="71" xfId="0" applyNumberFormat="1" applyFont="1" applyFill="1" applyBorder="1" applyAlignment="1" applyProtection="1">
      <alignment horizontal="center" vertical="center" wrapText="1"/>
    </xf>
    <xf numFmtId="4" fontId="85" fillId="3" borderId="37" xfId="0" applyNumberFormat="1" applyFont="1" applyFill="1" applyBorder="1" applyAlignment="1" applyProtection="1">
      <alignment horizontal="center" vertical="center" wrapText="1"/>
    </xf>
    <xf numFmtId="4" fontId="85" fillId="3" borderId="33" xfId="0" applyNumberFormat="1" applyFont="1" applyFill="1" applyBorder="1" applyAlignment="1" applyProtection="1">
      <alignment horizontal="center" vertical="center" wrapText="1"/>
    </xf>
    <xf numFmtId="4" fontId="2" fillId="3" borderId="71" xfId="6" applyNumberFormat="1" applyFont="1" applyFill="1" applyBorder="1" applyAlignment="1" applyProtection="1">
      <alignment horizontal="center" vertical="center" wrapText="1"/>
    </xf>
    <xf numFmtId="4" fontId="2" fillId="3" borderId="37" xfId="6" applyNumberFormat="1" applyFont="1" applyFill="1" applyBorder="1" applyAlignment="1" applyProtection="1">
      <alignment horizontal="center" vertical="center" wrapText="1"/>
    </xf>
    <xf numFmtId="4" fontId="2" fillId="3" borderId="55" xfId="6" applyNumberFormat="1" applyFont="1" applyFill="1" applyBorder="1" applyAlignment="1" applyProtection="1">
      <alignment horizontal="center" vertical="center" wrapText="1"/>
    </xf>
    <xf numFmtId="0" fontId="117" fillId="25" borderId="30" xfId="0" applyFont="1" applyFill="1" applyBorder="1" applyAlignment="1" applyProtection="1">
      <alignment horizontal="center" vertical="center" wrapText="1"/>
    </xf>
    <xf numFmtId="0" fontId="117" fillId="25" borderId="36" xfId="0" applyFont="1" applyFill="1" applyBorder="1" applyAlignment="1" applyProtection="1">
      <alignment horizontal="center" vertical="center" wrapText="1"/>
    </xf>
    <xf numFmtId="0" fontId="117" fillId="25" borderId="3" xfId="0" applyFont="1" applyFill="1" applyBorder="1" applyAlignment="1" applyProtection="1">
      <alignment horizontal="left" vertical="center" wrapText="1"/>
    </xf>
    <xf numFmtId="0" fontId="117" fillId="25" borderId="6" xfId="0" applyFont="1" applyFill="1" applyBorder="1" applyAlignment="1" applyProtection="1">
      <alignment horizontal="left" vertical="center" wrapText="1"/>
    </xf>
    <xf numFmtId="0" fontId="85" fillId="3" borderId="66" xfId="0" applyFont="1" applyFill="1" applyBorder="1" applyAlignment="1" applyProtection="1">
      <alignment horizontal="center" vertical="center" wrapText="1"/>
    </xf>
    <xf numFmtId="0" fontId="85" fillId="3" borderId="72" xfId="0" applyFont="1" applyFill="1" applyBorder="1" applyAlignment="1" applyProtection="1">
      <alignment horizontal="center" vertical="center" wrapText="1"/>
    </xf>
    <xf numFmtId="0" fontId="85" fillId="25" borderId="15" xfId="0" applyFont="1" applyFill="1" applyBorder="1" applyAlignment="1" applyProtection="1">
      <alignment horizontal="left" vertical="center" wrapText="1"/>
    </xf>
    <xf numFmtId="0" fontId="85" fillId="25" borderId="8" xfId="0" applyFont="1" applyFill="1" applyBorder="1" applyAlignment="1" applyProtection="1">
      <alignment horizontal="left" vertical="center" wrapText="1"/>
    </xf>
    <xf numFmtId="0" fontId="85" fillId="25" borderId="3" xfId="0" applyFont="1" applyFill="1" applyBorder="1" applyAlignment="1" applyProtection="1">
      <alignment horizontal="left" vertical="center" wrapText="1"/>
    </xf>
    <xf numFmtId="0" fontId="85" fillId="25" borderId="6" xfId="0" applyFont="1" applyFill="1" applyBorder="1" applyAlignment="1" applyProtection="1">
      <alignment horizontal="left" vertical="center" wrapText="1"/>
    </xf>
    <xf numFmtId="0" fontId="85" fillId="3" borderId="2" xfId="0" applyFont="1" applyFill="1" applyBorder="1" applyAlignment="1" applyProtection="1">
      <alignment horizontal="center" vertical="center" wrapText="1"/>
    </xf>
    <xf numFmtId="0" fontId="85" fillId="3" borderId="8" xfId="0" applyFont="1" applyFill="1" applyBorder="1" applyAlignment="1" applyProtection="1">
      <alignment horizontal="center" vertical="center" wrapText="1"/>
    </xf>
    <xf numFmtId="0" fontId="117" fillId="25" borderId="1" xfId="0" applyFont="1" applyFill="1" applyBorder="1" applyAlignment="1" applyProtection="1">
      <alignment horizontal="left" vertical="center" wrapText="1"/>
    </xf>
    <xf numFmtId="0" fontId="85" fillId="3" borderId="1" xfId="0" applyFont="1" applyFill="1" applyBorder="1" applyAlignment="1" applyProtection="1">
      <alignment horizontal="center" vertical="center" wrapText="1"/>
    </xf>
    <xf numFmtId="4" fontId="2" fillId="3" borderId="1" xfId="6" applyNumberFormat="1" applyFont="1" applyFill="1" applyBorder="1" applyAlignment="1" applyProtection="1">
      <alignment horizontal="center" vertical="center" wrapText="1"/>
    </xf>
    <xf numFmtId="4" fontId="2" fillId="3" borderId="6" xfId="6" applyNumberFormat="1" applyFont="1" applyFill="1" applyBorder="1" applyAlignment="1" applyProtection="1">
      <alignment horizontal="center" vertical="center" wrapText="1"/>
    </xf>
    <xf numFmtId="0" fontId="85" fillId="3" borderId="61" xfId="0" applyFont="1" applyFill="1" applyBorder="1" applyAlignment="1" applyProtection="1">
      <alignment horizontal="center" vertical="center" wrapText="1"/>
    </xf>
    <xf numFmtId="0" fontId="85" fillId="3" borderId="65" xfId="0" applyFont="1" applyFill="1" applyBorder="1" applyAlignment="1" applyProtection="1">
      <alignment horizontal="center" vertical="center" wrapText="1"/>
    </xf>
    <xf numFmtId="0" fontId="85" fillId="0" borderId="3" xfId="0" applyFont="1" applyFill="1" applyBorder="1" applyAlignment="1" applyProtection="1">
      <alignment horizontal="left" vertical="center" wrapText="1"/>
    </xf>
    <xf numFmtId="0" fontId="85" fillId="0" borderId="6" xfId="0" applyFont="1" applyFill="1" applyBorder="1" applyAlignment="1" applyProtection="1">
      <alignment horizontal="left" vertical="center" wrapText="1"/>
    </xf>
    <xf numFmtId="0" fontId="85" fillId="0" borderId="3" xfId="0" applyFont="1" applyFill="1" applyBorder="1" applyAlignment="1" applyProtection="1">
      <alignment horizontal="center" vertical="center" wrapText="1"/>
    </xf>
    <xf numFmtId="0" fontId="85" fillId="0" borderId="6" xfId="0" applyFont="1" applyFill="1" applyBorder="1" applyAlignment="1" applyProtection="1">
      <alignment horizontal="center" vertical="center" wrapText="1"/>
    </xf>
    <xf numFmtId="4" fontId="2" fillId="3" borderId="3" xfId="6" applyNumberFormat="1" applyFont="1" applyFill="1" applyBorder="1" applyAlignment="1" applyProtection="1">
      <alignment horizontal="center" vertical="center" wrapText="1"/>
    </xf>
    <xf numFmtId="0" fontId="85" fillId="3" borderId="64" xfId="0" applyFont="1" applyFill="1" applyBorder="1" applyAlignment="1" applyProtection="1">
      <alignment horizontal="center" vertical="center" wrapText="1"/>
    </xf>
    <xf numFmtId="0" fontId="85" fillId="0" borderId="13" xfId="0" applyFont="1" applyFill="1" applyBorder="1" applyAlignment="1" applyProtection="1">
      <alignment horizontal="left" vertical="center" wrapText="1"/>
    </xf>
    <xf numFmtId="0" fontId="85" fillId="0" borderId="13" xfId="0" applyFont="1" applyFill="1" applyBorder="1" applyAlignment="1" applyProtection="1">
      <alignment horizontal="center" vertical="center" wrapText="1"/>
    </xf>
    <xf numFmtId="4" fontId="2" fillId="3" borderId="13" xfId="6" applyNumberFormat="1" applyFont="1" applyFill="1" applyBorder="1" applyAlignment="1" applyProtection="1">
      <alignment horizontal="center" vertical="center" wrapText="1"/>
    </xf>
    <xf numFmtId="0" fontId="85" fillId="3" borderId="3" xfId="0" applyFont="1" applyFill="1" applyBorder="1" applyAlignment="1" applyProtection="1">
      <alignment horizontal="left" vertical="center" wrapText="1"/>
    </xf>
    <xf numFmtId="0" fontId="85" fillId="3" borderId="6" xfId="0" applyFont="1" applyFill="1" applyBorder="1" applyAlignment="1" applyProtection="1">
      <alignment horizontal="left" vertical="center" wrapText="1"/>
    </xf>
    <xf numFmtId="0" fontId="85" fillId="3" borderId="11" xfId="0" applyFont="1" applyFill="1" applyBorder="1" applyAlignment="1" applyProtection="1">
      <alignment horizontal="left" vertical="center" wrapText="1"/>
    </xf>
    <xf numFmtId="0" fontId="85" fillId="3" borderId="13" xfId="0" applyFont="1" applyFill="1" applyBorder="1" applyAlignment="1" applyProtection="1">
      <alignment horizontal="left" vertical="center" wrapText="1"/>
    </xf>
    <xf numFmtId="0" fontId="85" fillId="3" borderId="11" xfId="0" applyFont="1" applyFill="1" applyBorder="1" applyAlignment="1" applyProtection="1">
      <alignment horizontal="center" vertical="center" wrapText="1"/>
    </xf>
    <xf numFmtId="0" fontId="85" fillId="3" borderId="13" xfId="0" applyFont="1" applyFill="1" applyBorder="1" applyAlignment="1" applyProtection="1">
      <alignment horizontal="center" vertical="center" wrapText="1"/>
    </xf>
    <xf numFmtId="4" fontId="2" fillId="3" borderId="11" xfId="6" applyNumberFormat="1" applyFont="1" applyFill="1" applyBorder="1" applyAlignment="1" applyProtection="1">
      <alignment horizontal="center" vertical="center" wrapText="1"/>
    </xf>
    <xf numFmtId="0" fontId="85" fillId="0" borderId="11" xfId="0" applyFont="1" applyFill="1" applyBorder="1" applyAlignment="1" applyProtection="1">
      <alignment horizontal="left" vertical="center" wrapText="1"/>
    </xf>
    <xf numFmtId="0" fontId="85" fillId="0" borderId="11" xfId="0" applyFont="1" applyFill="1" applyBorder="1" applyAlignment="1" applyProtection="1">
      <alignment horizontal="center" vertical="center" wrapText="1"/>
    </xf>
    <xf numFmtId="0" fontId="117" fillId="25" borderId="3" xfId="0" applyFont="1" applyFill="1" applyBorder="1" applyAlignment="1" applyProtection="1">
      <alignment horizontal="center" vertical="center" wrapText="1"/>
    </xf>
    <xf numFmtId="0" fontId="117" fillId="25" borderId="6" xfId="0" applyFont="1" applyFill="1" applyBorder="1" applyAlignment="1" applyProtection="1">
      <alignment horizontal="center" vertical="center" wrapText="1"/>
    </xf>
    <xf numFmtId="4" fontId="117" fillId="25" borderId="3" xfId="6" applyNumberFormat="1" applyFont="1" applyFill="1" applyBorder="1" applyAlignment="1" applyProtection="1">
      <alignment horizontal="center" vertical="center" wrapText="1"/>
    </xf>
    <xf numFmtId="4" fontId="117" fillId="25" borderId="6" xfId="6" applyNumberFormat="1" applyFont="1" applyFill="1" applyBorder="1" applyAlignment="1" applyProtection="1">
      <alignment horizontal="center" vertical="center" wrapText="1"/>
    </xf>
    <xf numFmtId="0" fontId="117" fillId="25" borderId="61" xfId="0" applyFont="1" applyFill="1" applyBorder="1" applyAlignment="1" applyProtection="1">
      <alignment horizontal="center" vertical="center" wrapText="1"/>
    </xf>
    <xf numFmtId="0" fontId="117" fillId="25" borderId="65"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wrapText="1"/>
    </xf>
    <xf numFmtId="0" fontId="85" fillId="0" borderId="3" xfId="0" applyFont="1" applyBorder="1" applyAlignment="1" applyProtection="1">
      <alignment horizontal="left" vertical="center" wrapText="1"/>
    </xf>
    <xf numFmtId="0" fontId="85" fillId="0" borderId="6" xfId="0" applyFont="1" applyBorder="1" applyAlignment="1" applyProtection="1">
      <alignment horizontal="left" vertical="center" wrapText="1"/>
    </xf>
    <xf numFmtId="4" fontId="85" fillId="0" borderId="3" xfId="0" applyNumberFormat="1" applyFont="1" applyBorder="1" applyAlignment="1" applyProtection="1">
      <alignment horizontal="center" vertical="center" wrapText="1"/>
    </xf>
    <xf numFmtId="4" fontId="85" fillId="0" borderId="6" xfId="0" applyNumberFormat="1" applyFont="1" applyBorder="1" applyAlignment="1" applyProtection="1">
      <alignment horizontal="center" vertical="center" wrapText="1"/>
    </xf>
    <xf numFmtId="0" fontId="85" fillId="0" borderId="11" xfId="0" applyFont="1" applyBorder="1" applyAlignment="1" applyProtection="1">
      <alignment horizontal="left" vertical="center" wrapText="1"/>
    </xf>
    <xf numFmtId="0" fontId="85" fillId="0" borderId="11" xfId="0" applyFont="1" applyBorder="1" applyAlignment="1" applyProtection="1">
      <alignment horizontal="center" vertical="center" wrapText="1"/>
    </xf>
    <xf numFmtId="0" fontId="85" fillId="3" borderId="14" xfId="0" applyFont="1" applyFill="1" applyBorder="1" applyAlignment="1" applyProtection="1">
      <alignment horizontal="center" vertical="center" wrapText="1"/>
    </xf>
    <xf numFmtId="0" fontId="117" fillId="37" borderId="3" xfId="0" applyFont="1" applyFill="1" applyBorder="1" applyAlignment="1" applyProtection="1">
      <alignment horizontal="left" vertical="center" wrapText="1"/>
    </xf>
    <xf numFmtId="0" fontId="117" fillId="37" borderId="13" xfId="0" applyFont="1" applyFill="1" applyBorder="1" applyAlignment="1" applyProtection="1">
      <alignment horizontal="left" vertical="center" wrapText="1"/>
    </xf>
    <xf numFmtId="0" fontId="85" fillId="0" borderId="13" xfId="0" applyFont="1" applyBorder="1" applyAlignment="1" applyProtection="1">
      <alignment horizontal="center" vertical="center" wrapText="1"/>
    </xf>
    <xf numFmtId="4" fontId="2" fillId="3" borderId="59" xfId="6" applyNumberFormat="1" applyFont="1" applyFill="1" applyBorder="1" applyAlignment="1" applyProtection="1">
      <alignment horizontal="center" vertical="center" wrapText="1"/>
    </xf>
    <xf numFmtId="0" fontId="85" fillId="3" borderId="44" xfId="0" applyFont="1" applyFill="1" applyBorder="1" applyAlignment="1" applyProtection="1">
      <alignment horizontal="center" vertical="center" wrapText="1"/>
    </xf>
    <xf numFmtId="0" fontId="85" fillId="3" borderId="47" xfId="0" applyFont="1" applyFill="1" applyBorder="1" applyAlignment="1" applyProtection="1">
      <alignment horizontal="center" vertical="center" wrapText="1"/>
    </xf>
    <xf numFmtId="0" fontId="117" fillId="37" borderId="6" xfId="0" applyFont="1" applyFill="1" applyBorder="1" applyAlignment="1" applyProtection="1">
      <alignment horizontal="left" vertical="center" wrapText="1"/>
    </xf>
    <xf numFmtId="0" fontId="85" fillId="25" borderId="13" xfId="0" applyFont="1" applyFill="1" applyBorder="1" applyAlignment="1" applyProtection="1">
      <alignment horizontal="left" vertical="center" wrapText="1"/>
    </xf>
    <xf numFmtId="0" fontId="142" fillId="0" borderId="3" xfId="0" applyFont="1" applyBorder="1" applyAlignment="1" applyProtection="1">
      <alignment horizontal="center" vertical="center" wrapText="1"/>
    </xf>
    <xf numFmtId="0" fontId="142" fillId="0" borderId="6" xfId="0" applyFont="1" applyBorder="1" applyAlignment="1" applyProtection="1">
      <alignment horizontal="center" vertical="center" wrapText="1"/>
    </xf>
    <xf numFmtId="0" fontId="85" fillId="3" borderId="3" xfId="0" applyFont="1" applyFill="1" applyBorder="1" applyAlignment="1" applyProtection="1">
      <alignment vertical="center" wrapText="1"/>
    </xf>
    <xf numFmtId="0" fontId="85" fillId="3" borderId="6" xfId="0" applyFont="1" applyFill="1" applyBorder="1" applyAlignment="1" applyProtection="1">
      <alignment vertical="center" wrapText="1"/>
    </xf>
    <xf numFmtId="4" fontId="85" fillId="3" borderId="3" xfId="0" applyNumberFormat="1" applyFont="1" applyFill="1" applyBorder="1" applyAlignment="1" applyProtection="1">
      <alignment horizontal="center" vertical="center" wrapText="1"/>
    </xf>
    <xf numFmtId="0" fontId="97" fillId="0" borderId="0" xfId="0" applyFont="1" applyBorder="1" applyAlignment="1" applyProtection="1">
      <alignment horizontal="left" vertical="center" wrapText="1"/>
    </xf>
    <xf numFmtId="0" fontId="85" fillId="3" borderId="31" xfId="0" applyFont="1" applyFill="1" applyBorder="1" applyAlignment="1" applyProtection="1">
      <alignment horizontal="left" vertical="center" wrapText="1"/>
    </xf>
    <xf numFmtId="0" fontId="85" fillId="3" borderId="20" xfId="0" applyFont="1" applyFill="1" applyBorder="1" applyAlignment="1" applyProtection="1">
      <alignment horizontal="left" vertical="center" wrapText="1"/>
    </xf>
    <xf numFmtId="0" fontId="2" fillId="3" borderId="66" xfId="0" applyFont="1" applyFill="1" applyBorder="1" applyAlignment="1" applyProtection="1">
      <alignment horizontal="left" vertical="center" wrapText="1"/>
    </xf>
    <xf numFmtId="0" fontId="2" fillId="3" borderId="4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83" fillId="0" borderId="70" xfId="0" applyFont="1" applyBorder="1" applyAlignment="1" applyProtection="1">
      <alignment horizontal="left" vertical="center" wrapText="1"/>
    </xf>
    <xf numFmtId="4" fontId="2" fillId="3" borderId="20" xfId="6" applyNumberFormat="1" applyFont="1" applyFill="1" applyBorder="1" applyAlignment="1" applyProtection="1">
      <alignment horizontal="center" vertical="center" wrapText="1"/>
    </xf>
    <xf numFmtId="4" fontId="2" fillId="3" borderId="23" xfId="6" applyNumberFormat="1" applyFont="1" applyFill="1" applyBorder="1" applyAlignment="1" applyProtection="1">
      <alignment horizontal="center" vertical="center" wrapText="1"/>
    </xf>
    <xf numFmtId="0" fontId="85" fillId="0" borderId="31" xfId="0" applyFont="1" applyBorder="1" applyAlignment="1" applyProtection="1">
      <alignment horizontal="left" vertical="center" wrapText="1"/>
    </xf>
    <xf numFmtId="0" fontId="85" fillId="0" borderId="20" xfId="0" applyFont="1" applyBorder="1" applyAlignment="1" applyProtection="1">
      <alignment horizontal="left" vertical="center" wrapText="1"/>
    </xf>
    <xf numFmtId="4" fontId="117" fillId="25" borderId="31" xfId="6" applyNumberFormat="1" applyFont="1" applyFill="1" applyBorder="1" applyAlignment="1" applyProtection="1">
      <alignment horizontal="center" vertical="center" wrapText="1"/>
    </xf>
    <xf numFmtId="4" fontId="117" fillId="25" borderId="20" xfId="6" applyNumberFormat="1" applyFont="1" applyFill="1" applyBorder="1" applyAlignment="1" applyProtection="1">
      <alignment horizontal="center" vertical="center" wrapText="1"/>
    </xf>
    <xf numFmtId="0" fontId="2" fillId="3" borderId="64" xfId="0" applyFont="1" applyFill="1" applyBorder="1" applyAlignment="1" applyProtection="1">
      <alignment horizontal="center" vertical="center" wrapText="1"/>
    </xf>
    <xf numFmtId="0" fontId="2" fillId="3" borderId="65" xfId="0" applyFont="1" applyFill="1" applyBorder="1" applyAlignment="1" applyProtection="1">
      <alignment horizontal="center" vertical="center" wrapText="1"/>
    </xf>
    <xf numFmtId="0" fontId="2" fillId="3" borderId="11" xfId="0" applyFont="1" applyFill="1" applyBorder="1" applyAlignment="1" applyProtection="1">
      <alignment horizontal="left" vertical="center" wrapText="1"/>
    </xf>
    <xf numFmtId="4" fontId="117" fillId="25" borderId="11" xfId="6" applyNumberFormat="1" applyFont="1" applyFill="1" applyBorder="1" applyAlignment="1" applyProtection="1">
      <alignment horizontal="center" vertical="center" wrapText="1"/>
    </xf>
    <xf numFmtId="0" fontId="85" fillId="0" borderId="13" xfId="0" applyFont="1" applyBorder="1" applyAlignment="1" applyProtection="1">
      <alignment horizontal="left" vertical="center" wrapText="1"/>
    </xf>
    <xf numFmtId="0" fontId="85" fillId="3" borderId="31" xfId="0" applyFont="1" applyFill="1" applyBorder="1" applyAlignment="1" applyProtection="1">
      <alignment horizontal="center" vertical="center" wrapText="1"/>
    </xf>
    <xf numFmtId="0" fontId="85" fillId="3" borderId="20" xfId="0" applyFont="1" applyFill="1" applyBorder="1" applyAlignment="1" applyProtection="1">
      <alignment horizontal="center" vertical="center" wrapText="1"/>
    </xf>
    <xf numFmtId="0" fontId="85" fillId="0" borderId="31" xfId="0" applyFont="1" applyBorder="1" applyAlignment="1" applyProtection="1">
      <alignment horizontal="center" vertical="center" wrapText="1"/>
    </xf>
    <xf numFmtId="0" fontId="85" fillId="0" borderId="20" xfId="0" applyFont="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85" fillId="3" borderId="21" xfId="0" applyFont="1" applyFill="1" applyBorder="1" applyAlignment="1" applyProtection="1">
      <alignment horizontal="center" vertical="center" wrapText="1"/>
    </xf>
    <xf numFmtId="0" fontId="81" fillId="0" borderId="1" xfId="0" applyFont="1" applyBorder="1" applyAlignment="1" applyProtection="1">
      <alignment horizontal="center" vertical="center" wrapText="1"/>
    </xf>
    <xf numFmtId="0" fontId="85" fillId="0" borderId="1" xfId="0" applyFont="1" applyBorder="1" applyAlignment="1" applyProtection="1">
      <alignment horizontal="left" vertical="center" wrapText="1"/>
    </xf>
    <xf numFmtId="0" fontId="85" fillId="0" borderId="1" xfId="0" applyFont="1" applyBorder="1" applyAlignment="1" applyProtection="1">
      <alignment horizontal="center" vertical="center" wrapText="1"/>
    </xf>
    <xf numFmtId="0" fontId="85" fillId="0" borderId="40" xfId="0" applyFont="1" applyBorder="1" applyAlignment="1" applyProtection="1">
      <alignment horizontal="center" wrapText="1"/>
    </xf>
    <xf numFmtId="0" fontId="85" fillId="0" borderId="0" xfId="0" applyFont="1" applyAlignment="1" applyProtection="1">
      <alignment horizontal="center" wrapText="1"/>
    </xf>
    <xf numFmtId="0" fontId="145" fillId="0" borderId="0" xfId="0" applyFont="1" applyBorder="1" applyAlignment="1" applyProtection="1">
      <alignment horizontal="center" vertical="center" wrapText="1"/>
    </xf>
    <xf numFmtId="0" fontId="99" fillId="0" borderId="0" xfId="0" applyFont="1" applyBorder="1" applyAlignment="1" applyProtection="1">
      <alignment horizontal="center" vertical="center" wrapText="1"/>
    </xf>
    <xf numFmtId="0" fontId="85" fillId="0" borderId="25" xfId="0" applyNumberFormat="1" applyFont="1" applyBorder="1" applyAlignment="1" applyProtection="1">
      <alignment horizontal="center" vertical="center" wrapText="1"/>
    </xf>
    <xf numFmtId="0" fontId="85" fillId="0" borderId="1" xfId="0" applyNumberFormat="1" applyFont="1" applyBorder="1" applyAlignment="1" applyProtection="1">
      <alignment horizontal="center" vertical="center" wrapText="1"/>
    </xf>
    <xf numFmtId="4" fontId="2" fillId="3" borderId="40" xfId="6" applyNumberFormat="1" applyFont="1" applyFill="1" applyBorder="1" applyAlignment="1" applyProtection="1">
      <alignment horizontal="center" vertical="center" wrapText="1"/>
    </xf>
    <xf numFmtId="4" fontId="2" fillId="3" borderId="34" xfId="6" applyNumberFormat="1" applyFont="1" applyFill="1" applyBorder="1" applyAlignment="1" applyProtection="1">
      <alignment horizontal="center" vertical="center" wrapText="1"/>
    </xf>
    <xf numFmtId="4" fontId="85" fillId="3" borderId="4" xfId="0" applyNumberFormat="1"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4" fontId="2" fillId="3" borderId="3" xfId="0" applyNumberFormat="1" applyFont="1" applyFill="1" applyBorder="1" applyAlignment="1" applyProtection="1">
      <alignment horizontal="center" vertical="center" wrapText="1"/>
    </xf>
    <xf numFmtId="0" fontId="117" fillId="25" borderId="67" xfId="0" applyFont="1" applyFill="1" applyBorder="1" applyAlignment="1" applyProtection="1">
      <alignment horizontal="center" vertical="center" wrapText="1"/>
    </xf>
    <xf numFmtId="0" fontId="117" fillId="25" borderId="68" xfId="0" applyFont="1" applyFill="1" applyBorder="1" applyAlignment="1" applyProtection="1">
      <alignment horizontal="center" vertical="center" wrapText="1"/>
    </xf>
    <xf numFmtId="3" fontId="117" fillId="25" borderId="28" xfId="0" applyNumberFormat="1" applyFont="1" applyFill="1" applyBorder="1" applyAlignment="1" applyProtection="1">
      <alignment horizontal="center" vertical="center" wrapText="1"/>
    </xf>
    <xf numFmtId="3" fontId="117" fillId="25" borderId="68" xfId="0" applyNumberFormat="1" applyFont="1" applyFill="1" applyBorder="1" applyAlignment="1" applyProtection="1">
      <alignment horizontal="center" vertical="center" wrapText="1"/>
    </xf>
    <xf numFmtId="0" fontId="81" fillId="0" borderId="69" xfId="0" applyNumberFormat="1" applyFont="1" applyBorder="1" applyAlignment="1" applyProtection="1">
      <alignment horizontal="center" vertical="center" wrapText="1"/>
    </xf>
    <xf numFmtId="0" fontId="81" fillId="0" borderId="43" xfId="0" applyNumberFormat="1" applyFont="1" applyBorder="1" applyAlignment="1" applyProtection="1">
      <alignment horizontal="center" vertical="center" wrapText="1"/>
    </xf>
    <xf numFmtId="0" fontId="81" fillId="0" borderId="60" xfId="0" applyNumberFormat="1" applyFont="1" applyBorder="1" applyAlignment="1" applyProtection="1">
      <alignment horizontal="center" vertical="center" wrapText="1"/>
    </xf>
    <xf numFmtId="0" fontId="117" fillId="36" borderId="3" xfId="0" applyFont="1" applyFill="1" applyBorder="1" applyAlignment="1" applyProtection="1">
      <alignment horizontal="left" vertical="center" wrapText="1"/>
    </xf>
    <xf numFmtId="0" fontId="117" fillId="36" borderId="6" xfId="0" applyFont="1" applyFill="1" applyBorder="1" applyAlignment="1" applyProtection="1">
      <alignment horizontal="left" vertical="center" wrapText="1"/>
    </xf>
    <xf numFmtId="180" fontId="85" fillId="3" borderId="23" xfId="0" applyNumberFormat="1" applyFont="1" applyFill="1" applyBorder="1" applyAlignment="1" applyProtection="1">
      <alignment horizontal="center" vertical="center" wrapText="1"/>
    </xf>
    <xf numFmtId="180" fontId="139" fillId="25" borderId="52" xfId="0" applyNumberFormat="1" applyFont="1" applyFill="1" applyBorder="1" applyAlignment="1" applyProtection="1">
      <alignment horizontal="center" vertical="center" wrapText="1"/>
    </xf>
    <xf numFmtId="180" fontId="139" fillId="25" borderId="3" xfId="0" applyNumberFormat="1" applyFont="1" applyFill="1" applyBorder="1" applyAlignment="1" applyProtection="1">
      <alignment horizontal="center" vertical="center" wrapText="1"/>
    </xf>
    <xf numFmtId="180" fontId="139" fillId="25" borderId="28" xfId="0" applyNumberFormat="1" applyFont="1" applyFill="1" applyBorder="1" applyAlignment="1" applyProtection="1">
      <alignment horizontal="center" vertical="center" wrapText="1"/>
    </xf>
    <xf numFmtId="0" fontId="2" fillId="3" borderId="66" xfId="0" applyFont="1" applyFill="1" applyBorder="1" applyAlignment="1" applyProtection="1">
      <alignment horizontal="center" vertical="center" wrapText="1"/>
    </xf>
    <xf numFmtId="0" fontId="2" fillId="3" borderId="67" xfId="0" applyFont="1" applyFill="1" applyBorder="1" applyAlignment="1" applyProtection="1">
      <alignment horizontal="center" vertical="center" wrapText="1"/>
    </xf>
    <xf numFmtId="0" fontId="2" fillId="3" borderId="52"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3" borderId="68" xfId="0" applyFont="1" applyFill="1" applyBorder="1" applyAlignment="1" applyProtection="1">
      <alignment horizontal="center" vertical="center" wrapText="1"/>
    </xf>
    <xf numFmtId="0" fontId="117" fillId="25" borderId="52" xfId="0" applyFont="1" applyFill="1" applyBorder="1" applyAlignment="1" applyProtection="1">
      <alignment horizontal="center" vertical="center" wrapText="1"/>
    </xf>
    <xf numFmtId="0" fontId="117" fillId="25" borderId="4" xfId="0" applyFont="1" applyFill="1" applyBorder="1" applyAlignment="1" applyProtection="1">
      <alignment horizontal="center" vertical="center" wrapText="1"/>
    </xf>
    <xf numFmtId="4" fontId="2" fillId="3" borderId="0" xfId="6" applyNumberFormat="1" applyFont="1" applyFill="1" applyBorder="1" applyAlignment="1" applyProtection="1">
      <alignment horizontal="center" vertical="center" wrapText="1"/>
    </xf>
    <xf numFmtId="4" fontId="2" fillId="3" borderId="41" xfId="6" applyNumberFormat="1" applyFont="1" applyFill="1" applyBorder="1" applyAlignment="1" applyProtection="1">
      <alignment horizontal="center" vertical="center" wrapText="1"/>
    </xf>
    <xf numFmtId="0" fontId="144" fillId="3" borderId="0" xfId="0" applyFont="1" applyFill="1" applyBorder="1" applyAlignment="1" applyProtection="1">
      <alignment horizontal="center" wrapText="1"/>
    </xf>
    <xf numFmtId="0" fontId="103" fillId="0" borderId="57" xfId="0" applyFont="1" applyBorder="1" applyAlignment="1" applyProtection="1">
      <alignment horizontal="center" vertical="center" wrapText="1"/>
    </xf>
    <xf numFmtId="4" fontId="85" fillId="0" borderId="21" xfId="0" applyNumberFormat="1" applyFont="1" applyBorder="1" applyAlignment="1" applyProtection="1">
      <alignment horizontal="center" vertical="center" wrapText="1"/>
    </xf>
    <xf numFmtId="4" fontId="85" fillId="0" borderId="11" xfId="0" applyNumberFormat="1" applyFont="1" applyBorder="1" applyAlignment="1" applyProtection="1">
      <alignment horizontal="center" vertical="center" wrapText="1"/>
    </xf>
    <xf numFmtId="4" fontId="85" fillId="0" borderId="28" xfId="0" applyNumberFormat="1" applyFont="1" applyBorder="1" applyAlignment="1" applyProtection="1">
      <alignment horizontal="center" vertical="center" wrapText="1"/>
    </xf>
    <xf numFmtId="4" fontId="85" fillId="0" borderId="44" xfId="0" applyNumberFormat="1" applyFont="1" applyBorder="1" applyAlignment="1" applyProtection="1">
      <alignment horizontal="center" vertical="center" wrapText="1"/>
    </xf>
    <xf numFmtId="4" fontId="85" fillId="0" borderId="29" xfId="0" applyNumberFormat="1" applyFont="1" applyBorder="1" applyAlignment="1" applyProtection="1">
      <alignment horizontal="center" vertical="center" wrapText="1"/>
    </xf>
    <xf numFmtId="181" fontId="139" fillId="25" borderId="15" xfId="0" applyNumberFormat="1" applyFont="1" applyFill="1" applyBorder="1" applyAlignment="1" applyProtection="1">
      <alignment horizontal="center" vertical="center" wrapText="1"/>
    </xf>
    <xf numFmtId="181" fontId="139" fillId="25" borderId="3" xfId="0" applyNumberFormat="1" applyFont="1" applyFill="1" applyBorder="1" applyAlignment="1" applyProtection="1">
      <alignment horizontal="center" vertical="center" wrapText="1"/>
    </xf>
    <xf numFmtId="181" fontId="139" fillId="25" borderId="4" xfId="0" applyNumberFormat="1" applyFont="1" applyFill="1" applyBorder="1" applyAlignment="1" applyProtection="1">
      <alignment horizontal="center" vertical="center" wrapText="1"/>
    </xf>
    <xf numFmtId="0" fontId="2" fillId="3" borderId="1" xfId="6" applyFont="1" applyFill="1" applyBorder="1" applyAlignment="1">
      <alignment horizontal="center" vertical="center" wrapText="1"/>
    </xf>
    <xf numFmtId="0" fontId="2" fillId="0" borderId="1" xfId="6" applyFont="1" applyFill="1" applyBorder="1" applyAlignment="1">
      <alignment horizontal="left" vertical="center" wrapText="1"/>
    </xf>
    <xf numFmtId="0" fontId="2" fillId="0" borderId="9" xfId="6" applyFont="1" applyFill="1" applyBorder="1" applyAlignment="1">
      <alignment horizontal="left" vertical="center" wrapText="1"/>
    </xf>
    <xf numFmtId="4" fontId="2" fillId="3" borderId="1" xfId="6" applyNumberFormat="1" applyFont="1" applyFill="1" applyBorder="1" applyAlignment="1" applyProtection="1">
      <alignment horizontal="left" vertical="center" indent="1"/>
      <protection locked="0"/>
    </xf>
    <xf numFmtId="4" fontId="2" fillId="3" borderId="9" xfId="6" applyNumberFormat="1" applyFont="1" applyFill="1" applyBorder="1" applyAlignment="1" applyProtection="1">
      <alignment horizontal="left" vertical="center" indent="1"/>
      <protection locked="0"/>
    </xf>
    <xf numFmtId="4" fontId="5" fillId="3" borderId="1" xfId="6" applyNumberFormat="1" applyFont="1" applyFill="1" applyBorder="1" applyAlignment="1" applyProtection="1">
      <alignment horizontal="left" vertical="center" wrapText="1"/>
    </xf>
    <xf numFmtId="4" fontId="5" fillId="3" borderId="1" xfId="6" applyNumberFormat="1" applyFont="1" applyFill="1" applyBorder="1" applyAlignment="1" applyProtection="1">
      <alignment horizontal="left" vertical="center"/>
      <protection locked="0"/>
    </xf>
    <xf numFmtId="49" fontId="2" fillId="3" borderId="5" xfId="6" applyNumberFormat="1" applyFont="1" applyFill="1" applyBorder="1" applyAlignment="1">
      <alignment horizontal="center" vertical="center" wrapText="1"/>
    </xf>
    <xf numFmtId="49" fontId="2" fillId="3" borderId="19" xfId="6" applyNumberFormat="1" applyFont="1" applyFill="1" applyBorder="1" applyAlignment="1">
      <alignment horizontal="center" vertical="center" wrapText="1"/>
    </xf>
    <xf numFmtId="0" fontId="6" fillId="0" borderId="11" xfId="6" applyFont="1" applyFill="1" applyBorder="1" applyAlignment="1">
      <alignment horizontal="left" vertical="center" wrapText="1"/>
    </xf>
    <xf numFmtId="0" fontId="6" fillId="0" borderId="32" xfId="6" applyFont="1" applyFill="1" applyBorder="1" applyAlignment="1">
      <alignment horizontal="left" vertical="center" wrapText="1"/>
    </xf>
    <xf numFmtId="0" fontId="2" fillId="3" borderId="1" xfId="6" applyFont="1" applyFill="1" applyBorder="1" applyAlignment="1">
      <alignment horizontal="left" vertical="center" wrapText="1" indent="1"/>
    </xf>
    <xf numFmtId="0" fontId="2" fillId="3" borderId="9" xfId="6" applyFont="1" applyFill="1" applyBorder="1" applyAlignment="1">
      <alignment horizontal="left" vertical="center" wrapText="1" indent="1"/>
    </xf>
    <xf numFmtId="0" fontId="6" fillId="3" borderId="1" xfId="6" applyFont="1" applyFill="1" applyBorder="1" applyAlignment="1">
      <alignment horizontal="center" vertical="center" wrapText="1"/>
    </xf>
    <xf numFmtId="0" fontId="2" fillId="3" borderId="63" xfId="6" applyFont="1" applyFill="1" applyBorder="1" applyAlignment="1">
      <alignment horizontal="center" vertical="center" wrapText="1"/>
    </xf>
    <xf numFmtId="0" fontId="2" fillId="3" borderId="50" xfId="6" applyFont="1" applyFill="1" applyBorder="1" applyAlignment="1">
      <alignment horizontal="center" vertical="center" wrapText="1"/>
    </xf>
    <xf numFmtId="0" fontId="2" fillId="3" borderId="75" xfId="6" applyFont="1" applyFill="1" applyBorder="1" applyAlignment="1">
      <alignment horizontal="center" vertical="center" wrapText="1"/>
    </xf>
    <xf numFmtId="0" fontId="2" fillId="3" borderId="15" xfId="6" applyFont="1" applyFill="1" applyBorder="1" applyAlignment="1">
      <alignment horizontal="center" vertical="center" wrapText="1"/>
    </xf>
    <xf numFmtId="0" fontId="2" fillId="3" borderId="3" xfId="6" applyFont="1" applyFill="1" applyBorder="1" applyAlignment="1">
      <alignment horizontal="center" vertical="center" wrapText="1"/>
    </xf>
    <xf numFmtId="0" fontId="2" fillId="3" borderId="4" xfId="6" applyFont="1" applyFill="1" applyBorder="1" applyAlignment="1">
      <alignment horizontal="center" vertical="center" wrapText="1"/>
    </xf>
    <xf numFmtId="49" fontId="6" fillId="0" borderId="0" xfId="6" applyNumberFormat="1" applyFont="1" applyFill="1" applyBorder="1" applyAlignment="1">
      <alignment horizontal="left" vertical="center"/>
    </xf>
    <xf numFmtId="0" fontId="2" fillId="3" borderId="17" xfId="6" applyFont="1" applyFill="1" applyBorder="1" applyAlignment="1">
      <alignment horizontal="center" vertical="center"/>
    </xf>
    <xf numFmtId="0" fontId="2" fillId="3" borderId="38" xfId="6" applyFont="1" applyFill="1" applyBorder="1" applyAlignment="1">
      <alignment horizontal="center" vertical="center"/>
    </xf>
    <xf numFmtId="49" fontId="2" fillId="3" borderId="15" xfId="6" applyNumberFormat="1" applyFont="1" applyFill="1" applyBorder="1" applyAlignment="1">
      <alignment vertical="center"/>
    </xf>
    <xf numFmtId="49" fontId="2" fillId="3" borderId="2" xfId="6" applyNumberFormat="1" applyFont="1" applyFill="1" applyBorder="1" applyAlignment="1">
      <alignment vertical="center"/>
    </xf>
    <xf numFmtId="49" fontId="2" fillId="3" borderId="14" xfId="6" applyNumberFormat="1" applyFont="1" applyFill="1" applyBorder="1" applyAlignment="1">
      <alignment vertical="center"/>
    </xf>
    <xf numFmtId="0" fontId="2" fillId="3" borderId="3" xfId="6" applyFont="1" applyFill="1" applyBorder="1" applyAlignment="1">
      <alignment horizontal="center" vertical="center"/>
    </xf>
    <xf numFmtId="0" fontId="2" fillId="3" borderId="28" xfId="6" applyFont="1" applyFill="1" applyBorder="1" applyAlignment="1">
      <alignment horizontal="center" vertical="center"/>
    </xf>
    <xf numFmtId="0" fontId="2" fillId="3" borderId="1" xfId="6" applyFont="1" applyFill="1" applyBorder="1" applyAlignment="1">
      <alignment horizontal="center" vertical="center"/>
    </xf>
    <xf numFmtId="0" fontId="2" fillId="3" borderId="9" xfId="6" applyFont="1" applyFill="1" applyBorder="1" applyAlignment="1">
      <alignment horizontal="center" vertical="center"/>
    </xf>
    <xf numFmtId="0" fontId="2" fillId="3" borderId="13" xfId="6" applyFont="1" applyFill="1" applyBorder="1" applyAlignment="1">
      <alignment horizontal="center" vertical="center"/>
    </xf>
    <xf numFmtId="0" fontId="2" fillId="3" borderId="59" xfId="6" applyFont="1" applyFill="1" applyBorder="1" applyAlignment="1">
      <alignment horizontal="center" vertical="center"/>
    </xf>
    <xf numFmtId="0" fontId="6" fillId="3" borderId="13" xfId="6" applyFont="1" applyFill="1" applyBorder="1" applyAlignment="1">
      <alignment horizontal="center" vertical="center" wrapText="1"/>
    </xf>
    <xf numFmtId="0" fontId="6" fillId="3" borderId="2" xfId="6" applyFont="1" applyFill="1" applyBorder="1" applyAlignment="1">
      <alignment horizontal="center" vertical="center" wrapText="1"/>
    </xf>
    <xf numFmtId="0" fontId="6" fillId="3" borderId="14" xfId="6" applyFont="1" applyFill="1" applyBorder="1" applyAlignment="1">
      <alignment horizontal="center" vertical="center" wrapText="1"/>
    </xf>
    <xf numFmtId="0" fontId="2" fillId="3" borderId="5" xfId="6" applyFont="1" applyFill="1" applyBorder="1" applyAlignment="1">
      <alignment horizontal="center" vertical="center" wrapText="1"/>
    </xf>
    <xf numFmtId="0" fontId="2" fillId="0" borderId="6" xfId="6" applyFont="1" applyFill="1" applyBorder="1" applyAlignment="1">
      <alignment horizontal="left" vertical="center" wrapText="1"/>
    </xf>
    <xf numFmtId="0" fontId="2" fillId="0" borderId="24" xfId="6" applyFont="1" applyFill="1" applyBorder="1" applyAlignment="1">
      <alignment horizontal="left" vertical="center" wrapText="1"/>
    </xf>
    <xf numFmtId="49" fontId="2" fillId="3" borderId="1" xfId="6" applyNumberFormat="1" applyFont="1" applyFill="1" applyBorder="1" applyAlignment="1">
      <alignment horizontal="left" vertical="top" wrapText="1" readingOrder="1"/>
    </xf>
    <xf numFmtId="0" fontId="2" fillId="0" borderId="1" xfId="6" applyFont="1" applyFill="1" applyBorder="1" applyAlignment="1">
      <alignment horizontal="left" vertical="center"/>
    </xf>
    <xf numFmtId="0" fontId="85" fillId="0" borderId="1" xfId="0" applyFont="1" applyBorder="1" applyAlignment="1">
      <alignment horizontal="left" vertical="center" wrapText="1"/>
    </xf>
    <xf numFmtId="0" fontId="2" fillId="3" borderId="28" xfId="6" applyFont="1" applyFill="1" applyBorder="1" applyAlignment="1">
      <alignment horizontal="center" vertical="center" wrapText="1"/>
    </xf>
    <xf numFmtId="0" fontId="2" fillId="3" borderId="9" xfId="6" applyFont="1" applyFill="1" applyBorder="1" applyAlignment="1">
      <alignment horizontal="center" vertical="center" wrapText="1"/>
    </xf>
    <xf numFmtId="0" fontId="2" fillId="3" borderId="59" xfId="6" applyFont="1" applyFill="1" applyBorder="1" applyAlignment="1">
      <alignment horizontal="center" vertical="center" wrapText="1"/>
    </xf>
    <xf numFmtId="4" fontId="2" fillId="3" borderId="15" xfId="6" applyNumberFormat="1" applyFont="1" applyFill="1" applyBorder="1" applyAlignment="1">
      <alignment horizontal="center" vertical="center"/>
    </xf>
    <xf numFmtId="4" fontId="2" fillId="3" borderId="3" xfId="6" applyNumberFormat="1" applyFont="1" applyFill="1" applyBorder="1" applyAlignment="1">
      <alignment horizontal="center" vertical="center"/>
    </xf>
    <xf numFmtId="4" fontId="2" fillId="3" borderId="4" xfId="6" applyNumberFormat="1" applyFont="1" applyFill="1" applyBorder="1" applyAlignment="1">
      <alignment horizontal="center" vertical="center"/>
    </xf>
    <xf numFmtId="49" fontId="2" fillId="3" borderId="6" xfId="6" applyNumberFormat="1" applyFont="1" applyFill="1" applyBorder="1" applyAlignment="1">
      <alignment horizontal="left" vertical="top" wrapText="1" readingOrder="1"/>
    </xf>
    <xf numFmtId="0" fontId="2" fillId="0" borderId="1" xfId="6" applyFont="1" applyFill="1" applyBorder="1" applyAlignment="1">
      <alignment horizontal="left" vertical="center" wrapText="1" indent="2"/>
    </xf>
    <xf numFmtId="49" fontId="129" fillId="25" borderId="1" xfId="6" applyNumberFormat="1" applyFont="1" applyFill="1" applyBorder="1" applyAlignment="1" applyProtection="1">
      <alignment horizontal="center" vertical="center" wrapText="1"/>
    </xf>
    <xf numFmtId="49" fontId="129" fillId="25" borderId="1" xfId="6" applyNumberFormat="1" applyFont="1" applyFill="1" applyBorder="1" applyAlignment="1" applyProtection="1">
      <alignment horizontal="center" vertical="center" wrapText="1" readingOrder="1"/>
    </xf>
    <xf numFmtId="0" fontId="83" fillId="0" borderId="0" xfId="0" applyFont="1" applyBorder="1" applyAlignment="1">
      <alignment horizontal="left" vertical="center"/>
    </xf>
    <xf numFmtId="0" fontId="85" fillId="0" borderId="1" xfId="0" applyFont="1" applyBorder="1" applyAlignment="1">
      <alignment horizontal="center" vertical="center" wrapText="1"/>
    </xf>
    <xf numFmtId="0" fontId="83" fillId="0" borderId="0" xfId="0" applyFont="1" applyAlignment="1">
      <alignment horizontal="center" vertical="center"/>
    </xf>
    <xf numFmtId="0" fontId="6" fillId="0" borderId="1" xfId="6" applyFont="1" applyFill="1" applyBorder="1" applyAlignment="1">
      <alignment horizontal="left" vertical="center" wrapText="1" indent="1"/>
    </xf>
    <xf numFmtId="0" fontId="2" fillId="0" borderId="6" xfId="6" applyFont="1" applyFill="1" applyBorder="1" applyAlignment="1">
      <alignment horizontal="left" vertical="center" wrapText="1" indent="2"/>
    </xf>
    <xf numFmtId="49" fontId="2" fillId="3" borderId="15" xfId="6" applyNumberFormat="1" applyFont="1" applyFill="1" applyBorder="1" applyAlignment="1">
      <alignment horizontal="center" vertical="center"/>
    </xf>
    <xf numFmtId="49" fontId="2" fillId="3" borderId="2" xfId="6" applyNumberFormat="1" applyFont="1" applyFill="1" applyBorder="1" applyAlignment="1">
      <alignment horizontal="center" vertical="center"/>
    </xf>
    <xf numFmtId="49" fontId="2" fillId="3" borderId="14" xfId="6" applyNumberFormat="1" applyFont="1" applyFill="1" applyBorder="1" applyAlignment="1">
      <alignment horizontal="center" vertical="center"/>
    </xf>
    <xf numFmtId="0" fontId="96" fillId="0" borderId="60" xfId="0" applyFont="1" applyBorder="1" applyAlignment="1" applyProtection="1">
      <alignment horizontal="center" vertical="center" wrapText="1"/>
      <protection locked="0"/>
    </xf>
    <xf numFmtId="0" fontId="96" fillId="0" borderId="25" xfId="0" applyFont="1" applyBorder="1" applyAlignment="1" applyProtection="1">
      <alignment horizontal="center" vertical="center" wrapText="1"/>
      <protection locked="0"/>
    </xf>
    <xf numFmtId="180" fontId="6" fillId="3" borderId="1" xfId="6" applyNumberFormat="1" applyFont="1" applyFill="1" applyBorder="1" applyAlignment="1">
      <alignment horizontal="left" vertical="center"/>
    </xf>
    <xf numFmtId="0" fontId="147" fillId="0" borderId="9" xfId="0" applyFont="1" applyBorder="1" applyAlignment="1">
      <alignment horizontal="center" vertical="center" wrapText="1"/>
    </xf>
    <xf numFmtId="0" fontId="147" fillId="0" borderId="60" xfId="0" applyFont="1" applyBorder="1" applyAlignment="1">
      <alignment horizontal="center" vertical="center" wrapText="1"/>
    </xf>
    <xf numFmtId="0" fontId="147" fillId="0" borderId="25" xfId="0" applyFont="1" applyBorder="1" applyAlignment="1">
      <alignment horizontal="center" vertical="center" wrapText="1"/>
    </xf>
    <xf numFmtId="0" fontId="81" fillId="0" borderId="9" xfId="0" applyFont="1" applyBorder="1" applyAlignment="1">
      <alignment horizontal="center" vertical="center" wrapText="1"/>
    </xf>
    <xf numFmtId="0" fontId="81" fillId="0" borderId="60" xfId="0" applyFont="1" applyBorder="1" applyAlignment="1">
      <alignment horizontal="center" vertical="center" wrapText="1"/>
    </xf>
    <xf numFmtId="0" fontId="81" fillId="0" borderId="25" xfId="0" applyFont="1" applyBorder="1" applyAlignment="1">
      <alignment horizontal="center" vertical="center" wrapText="1"/>
    </xf>
    <xf numFmtId="0" fontId="2" fillId="3" borderId="44" xfId="6" applyFont="1" applyFill="1" applyBorder="1" applyAlignment="1">
      <alignment horizontal="center" vertical="center" wrapText="1"/>
    </xf>
    <xf numFmtId="0" fontId="2" fillId="3" borderId="29" xfId="6" applyFont="1" applyFill="1" applyBorder="1" applyAlignment="1">
      <alignment horizontal="center" vertical="center" wrapText="1"/>
    </xf>
    <xf numFmtId="0" fontId="2" fillId="3" borderId="37" xfId="6" applyFont="1" applyFill="1" applyBorder="1" applyAlignment="1">
      <alignment horizontal="center" vertical="center" wrapText="1"/>
    </xf>
    <xf numFmtId="0" fontId="2" fillId="3" borderId="33" xfId="6" applyFont="1" applyFill="1" applyBorder="1" applyAlignment="1">
      <alignment horizontal="center" vertical="center" wrapText="1"/>
    </xf>
    <xf numFmtId="0" fontId="2" fillId="3" borderId="29" xfId="6" applyFont="1" applyFill="1" applyBorder="1" applyAlignment="1" applyProtection="1">
      <alignment horizontal="center" vertical="center" wrapText="1"/>
    </xf>
    <xf numFmtId="0" fontId="2" fillId="3" borderId="62" xfId="6" applyFont="1" applyFill="1" applyBorder="1" applyAlignment="1" applyProtection="1">
      <alignment horizontal="center" vertical="center" wrapText="1"/>
    </xf>
    <xf numFmtId="0" fontId="2" fillId="3" borderId="58" xfId="6" applyFont="1" applyFill="1" applyBorder="1" applyAlignment="1" applyProtection="1">
      <alignment horizontal="center" vertical="center" wrapText="1"/>
    </xf>
    <xf numFmtId="0" fontId="2" fillId="3" borderId="35" xfId="6" applyFont="1" applyFill="1" applyBorder="1" applyAlignment="1" applyProtection="1">
      <alignment horizontal="center" vertical="center" wrapText="1"/>
    </xf>
    <xf numFmtId="0" fontId="2" fillId="10" borderId="15" xfId="6" applyFont="1" applyFill="1" applyBorder="1" applyAlignment="1" applyProtection="1">
      <alignment horizontal="center" vertical="center" wrapText="1"/>
    </xf>
    <xf numFmtId="0" fontId="2" fillId="10" borderId="4" xfId="6" applyFont="1" applyFill="1" applyBorder="1" applyAlignment="1" applyProtection="1">
      <alignment horizontal="center" vertical="center" wrapText="1"/>
    </xf>
    <xf numFmtId="0" fontId="2" fillId="10" borderId="2" xfId="6" applyFont="1" applyFill="1" applyBorder="1" applyAlignment="1" applyProtection="1">
      <alignment horizontal="center" vertical="center" wrapText="1"/>
    </xf>
    <xf numFmtId="0" fontId="2" fillId="10" borderId="5" xfId="6" applyFont="1" applyFill="1" applyBorder="1" applyAlignment="1" applyProtection="1">
      <alignment horizontal="center" vertical="center" wrapText="1"/>
    </xf>
    <xf numFmtId="0" fontId="2" fillId="3" borderId="2" xfId="6" applyFont="1" applyFill="1" applyBorder="1" applyAlignment="1">
      <alignment horizontal="center" vertical="center" wrapText="1"/>
    </xf>
    <xf numFmtId="0" fontId="2" fillId="3" borderId="14" xfId="6" applyFont="1" applyFill="1" applyBorder="1" applyAlignment="1">
      <alignment horizontal="center" vertical="center" wrapText="1"/>
    </xf>
    <xf numFmtId="0" fontId="85" fillId="0" borderId="0" xfId="0" applyFont="1" applyFill="1" applyBorder="1" applyAlignment="1">
      <alignment horizontal="right" vertical="center" wrapText="1"/>
    </xf>
    <xf numFmtId="0" fontId="83" fillId="0" borderId="0" xfId="0" applyFont="1" applyAlignment="1" applyProtection="1">
      <alignment horizontal="center" vertical="center"/>
      <protection locked="0"/>
    </xf>
    <xf numFmtId="0" fontId="105" fillId="0" borderId="69" xfId="0" applyFont="1" applyBorder="1" applyAlignment="1">
      <alignment horizontal="left" vertical="center" wrapText="1"/>
    </xf>
    <xf numFmtId="0" fontId="6" fillId="3" borderId="20" xfId="6" applyFont="1" applyFill="1" applyBorder="1" applyAlignment="1">
      <alignment horizontal="left" vertical="center" wrapText="1"/>
    </xf>
    <xf numFmtId="0" fontId="96" fillId="0" borderId="9" xfId="0" applyFont="1" applyBorder="1" applyAlignment="1">
      <alignment horizontal="left" vertical="center" wrapText="1"/>
    </xf>
    <xf numFmtId="0" fontId="96" fillId="0" borderId="60" xfId="0" applyFont="1" applyBorder="1" applyAlignment="1">
      <alignment horizontal="left" vertical="center" wrapText="1"/>
    </xf>
    <xf numFmtId="0" fontId="96" fillId="0" borderId="25" xfId="0" applyFont="1" applyBorder="1" applyAlignment="1">
      <alignment horizontal="left" vertical="center" wrapText="1"/>
    </xf>
    <xf numFmtId="49" fontId="129" fillId="25" borderId="3" xfId="6" applyNumberFormat="1" applyFont="1" applyFill="1" applyBorder="1" applyAlignment="1" applyProtection="1">
      <alignment horizontal="center" vertical="center" wrapText="1"/>
    </xf>
    <xf numFmtId="49" fontId="129" fillId="25" borderId="4" xfId="6" applyNumberFormat="1" applyFont="1" applyFill="1" applyBorder="1" applyAlignment="1" applyProtection="1">
      <alignment horizontal="center" vertical="center" wrapText="1"/>
    </xf>
    <xf numFmtId="0" fontId="2" fillId="0" borderId="0" xfId="6" applyFont="1" applyFill="1" applyBorder="1" applyAlignment="1" applyProtection="1">
      <alignment horizontal="center" vertical="center"/>
    </xf>
    <xf numFmtId="0" fontId="81" fillId="0" borderId="1" xfId="0" applyFont="1" applyBorder="1" applyAlignment="1" applyProtection="1">
      <alignment horizontal="center" vertical="center" wrapText="1"/>
      <protection locked="0"/>
    </xf>
    <xf numFmtId="0" fontId="81" fillId="0" borderId="1" xfId="0" applyFont="1" applyBorder="1" applyAlignment="1">
      <alignment horizontal="left" vertical="center" wrapText="1"/>
    </xf>
    <xf numFmtId="0" fontId="81" fillId="0" borderId="9" xfId="0" applyFont="1" applyBorder="1" applyAlignment="1">
      <alignment horizontal="left" vertical="center" wrapText="1"/>
    </xf>
    <xf numFmtId="0" fontId="81" fillId="0" borderId="60" xfId="0" applyFont="1" applyBorder="1" applyAlignment="1">
      <alignment horizontal="left" vertical="center" wrapText="1"/>
    </xf>
    <xf numFmtId="0" fontId="81" fillId="0" borderId="25" xfId="0" applyFont="1" applyBorder="1" applyAlignment="1">
      <alignment horizontal="left" vertical="center" wrapText="1"/>
    </xf>
    <xf numFmtId="0" fontId="81" fillId="0" borderId="0" xfId="0" applyFont="1" applyFill="1" applyBorder="1" applyAlignment="1">
      <alignment horizontal="right" vertical="center" wrapText="1"/>
    </xf>
    <xf numFmtId="0" fontId="2" fillId="10" borderId="10" xfId="6" applyFont="1" applyFill="1" applyBorder="1" applyAlignment="1" applyProtection="1">
      <alignment horizontal="center" vertical="center" wrapText="1"/>
    </xf>
    <xf numFmtId="0" fontId="2" fillId="10" borderId="42" xfId="6" applyFont="1" applyFill="1" applyBorder="1" applyAlignment="1" applyProtection="1">
      <alignment horizontal="center" vertical="center" wrapText="1"/>
    </xf>
    <xf numFmtId="0" fontId="2" fillId="10" borderId="22" xfId="6" applyFont="1" applyFill="1" applyBorder="1" applyAlignment="1" applyProtection="1">
      <alignment horizontal="center" vertical="center" wrapText="1"/>
    </xf>
    <xf numFmtId="0" fontId="2" fillId="3" borderId="54" xfId="6" applyFont="1" applyFill="1" applyBorder="1" applyAlignment="1">
      <alignment horizontal="center" vertical="center"/>
    </xf>
    <xf numFmtId="0" fontId="2" fillId="3" borderId="29" xfId="6" applyFont="1" applyFill="1" applyBorder="1" applyAlignment="1">
      <alignment horizontal="center" vertical="center"/>
    </xf>
    <xf numFmtId="0" fontId="2" fillId="3" borderId="62" xfId="6" applyFont="1" applyFill="1" applyBorder="1" applyAlignment="1">
      <alignment horizontal="center" vertical="center"/>
    </xf>
    <xf numFmtId="183" fontId="2" fillId="0" borderId="45" xfId="6" applyNumberFormat="1" applyFont="1" applyFill="1" applyBorder="1" applyAlignment="1" applyProtection="1">
      <alignment horizontal="center" vertical="center" wrapText="1"/>
    </xf>
    <xf numFmtId="183" fontId="2" fillId="0" borderId="73" xfId="6" applyNumberFormat="1" applyFont="1" applyFill="1" applyBorder="1" applyAlignment="1" applyProtection="1">
      <alignment horizontal="center" vertical="center" wrapText="1"/>
    </xf>
    <xf numFmtId="0" fontId="2" fillId="3" borderId="44" xfId="6" applyFont="1" applyFill="1" applyBorder="1" applyAlignment="1" applyProtection="1">
      <alignment horizontal="center" vertical="center" wrapText="1"/>
    </xf>
    <xf numFmtId="0" fontId="2" fillId="3" borderId="57" xfId="6" applyFont="1" applyFill="1" applyBorder="1" applyAlignment="1" applyProtection="1">
      <alignment horizontal="center" vertical="center" wrapText="1"/>
    </xf>
    <xf numFmtId="0" fontId="2" fillId="3" borderId="47" xfId="6" applyFont="1" applyFill="1" applyBorder="1" applyAlignment="1" applyProtection="1">
      <alignment horizontal="center" vertical="center" wrapText="1"/>
    </xf>
    <xf numFmtId="0" fontId="2" fillId="3" borderId="61" xfId="6" applyFont="1" applyFill="1" applyBorder="1" applyAlignment="1" applyProtection="1">
      <alignment horizontal="center" vertical="center" wrapText="1"/>
    </xf>
    <xf numFmtId="0" fontId="2" fillId="3" borderId="64" xfId="6" applyFont="1" applyFill="1" applyBorder="1" applyAlignment="1" applyProtection="1">
      <alignment horizontal="center" vertical="center" wrapText="1"/>
    </xf>
    <xf numFmtId="0" fontId="2" fillId="3" borderId="10" xfId="6" applyFont="1" applyFill="1" applyBorder="1" applyAlignment="1" applyProtection="1">
      <alignment horizontal="center" vertical="center" wrapText="1"/>
    </xf>
    <xf numFmtId="0" fontId="2" fillId="3" borderId="42" xfId="6" applyFont="1" applyFill="1" applyBorder="1" applyAlignment="1" applyProtection="1">
      <alignment horizontal="center" vertical="center" wrapText="1"/>
    </xf>
    <xf numFmtId="0" fontId="2" fillId="3" borderId="22" xfId="6" applyFont="1" applyFill="1" applyBorder="1" applyAlignment="1" applyProtection="1">
      <alignment horizontal="center" vertical="center" wrapText="1"/>
    </xf>
    <xf numFmtId="0" fontId="2" fillId="3" borderId="53" xfId="6" applyFont="1" applyFill="1" applyBorder="1" applyAlignment="1" applyProtection="1">
      <alignment horizontal="center" vertical="center" wrapText="1"/>
    </xf>
    <xf numFmtId="0" fontId="2" fillId="3" borderId="41" xfId="6" applyFont="1" applyFill="1" applyBorder="1" applyAlignment="1" applyProtection="1">
      <alignment horizontal="center" vertical="center" wrapText="1"/>
    </xf>
    <xf numFmtId="0" fontId="2" fillId="3" borderId="74" xfId="6" applyFont="1" applyFill="1" applyBorder="1" applyAlignment="1" applyProtection="1">
      <alignment horizontal="center" vertical="center" wrapText="1"/>
    </xf>
    <xf numFmtId="180" fontId="117" fillId="25" borderId="5" xfId="6" applyNumberFormat="1" applyFont="1" applyFill="1" applyBorder="1" applyAlignment="1" applyProtection="1">
      <alignment horizontal="center" vertical="center"/>
    </xf>
    <xf numFmtId="0" fontId="92" fillId="0" borderId="69" xfId="6" applyFont="1" applyFill="1" applyBorder="1" applyAlignment="1">
      <alignment horizontal="center" vertical="center"/>
    </xf>
    <xf numFmtId="0" fontId="5" fillId="0" borderId="70" xfId="6" applyFont="1" applyFill="1" applyBorder="1" applyAlignment="1">
      <alignment horizontal="right" vertical="center" wrapText="1"/>
    </xf>
    <xf numFmtId="0" fontId="6" fillId="20" borderId="1" xfId="6" applyFont="1" applyFill="1" applyBorder="1" applyAlignment="1">
      <alignment horizontal="center" vertical="center" wrapText="1"/>
    </xf>
    <xf numFmtId="0" fontId="6" fillId="20" borderId="13" xfId="6" applyFont="1" applyFill="1" applyBorder="1" applyAlignment="1">
      <alignment horizontal="center" vertical="center" wrapText="1"/>
    </xf>
    <xf numFmtId="0" fontId="2" fillId="3" borderId="1" xfId="6" applyFont="1" applyFill="1" applyBorder="1" applyAlignment="1">
      <alignment horizontal="left" vertical="center" wrapText="1" indent="2"/>
    </xf>
    <xf numFmtId="0" fontId="85" fillId="0" borderId="0" xfId="6" applyFont="1" applyFill="1" applyBorder="1" applyAlignment="1" applyProtection="1">
      <alignment horizontal="center" vertical="center" wrapText="1"/>
    </xf>
    <xf numFmtId="0" fontId="6" fillId="3" borderId="0" xfId="6" applyFont="1" applyFill="1" applyBorder="1" applyAlignment="1">
      <alignment horizontal="left" vertical="center"/>
    </xf>
    <xf numFmtId="182" fontId="2" fillId="3" borderId="0" xfId="6" applyNumberFormat="1" applyFont="1" applyFill="1" applyBorder="1" applyAlignment="1" applyProtection="1">
      <alignment horizontal="center" vertical="center" wrapText="1"/>
    </xf>
    <xf numFmtId="0" fontId="6" fillId="3" borderId="1" xfId="6" applyFont="1" applyFill="1" applyBorder="1" applyAlignment="1">
      <alignment horizontal="left" vertical="center" wrapText="1"/>
    </xf>
    <xf numFmtId="182" fontId="2" fillId="0" borderId="25" xfId="6" applyNumberFormat="1" applyFont="1" applyFill="1" applyBorder="1" applyAlignment="1" applyProtection="1">
      <alignment horizontal="center" vertical="center" wrapText="1"/>
    </xf>
    <xf numFmtId="182" fontId="2" fillId="0" borderId="1" xfId="6" applyNumberFormat="1" applyFont="1" applyFill="1" applyBorder="1" applyAlignment="1" applyProtection="1">
      <alignment horizontal="center" vertical="center" wrapText="1"/>
    </xf>
    <xf numFmtId="182" fontId="2" fillId="0" borderId="14" xfId="6" applyNumberFormat="1" applyFont="1" applyFill="1" applyBorder="1" applyAlignment="1" applyProtection="1">
      <alignment horizontal="center" vertical="center" wrapText="1"/>
    </xf>
    <xf numFmtId="182" fontId="2" fillId="0" borderId="39" xfId="6" applyNumberFormat="1" applyFont="1" applyFill="1" applyBorder="1" applyAlignment="1" applyProtection="1">
      <alignment horizontal="center" vertical="center" wrapText="1"/>
    </xf>
    <xf numFmtId="182" fontId="2" fillId="0" borderId="21" xfId="6" applyNumberFormat="1" applyFont="1" applyFill="1" applyBorder="1" applyAlignment="1" applyProtection="1">
      <alignment horizontal="center" vertical="center" wrapText="1"/>
    </xf>
    <xf numFmtId="0" fontId="85" fillId="0" borderId="1" xfId="0" applyFont="1" applyBorder="1" applyAlignment="1" applyProtection="1">
      <alignment horizontal="center"/>
    </xf>
    <xf numFmtId="4" fontId="85" fillId="3" borderId="66" xfId="0" applyNumberFormat="1" applyFont="1" applyFill="1" applyBorder="1" applyAlignment="1" applyProtection="1">
      <alignment horizontal="center"/>
    </xf>
    <xf numFmtId="4" fontId="85" fillId="3" borderId="67" xfId="0" applyNumberFormat="1" applyFont="1" applyFill="1" applyBorder="1" applyAlignment="1" applyProtection="1">
      <alignment horizontal="center"/>
    </xf>
    <xf numFmtId="4" fontId="85" fillId="3" borderId="68" xfId="0" applyNumberFormat="1" applyFont="1" applyFill="1" applyBorder="1" applyAlignment="1" applyProtection="1">
      <alignment horizontal="center"/>
    </xf>
    <xf numFmtId="0" fontId="85" fillId="0" borderId="2" xfId="0" applyFont="1" applyBorder="1" applyAlignment="1" applyProtection="1">
      <alignment horizontal="center"/>
    </xf>
    <xf numFmtId="0" fontId="85" fillId="0" borderId="5" xfId="0" applyFont="1" applyBorder="1" applyAlignment="1" applyProtection="1">
      <alignment horizontal="center"/>
    </xf>
    <xf numFmtId="182" fontId="2" fillId="0" borderId="13" xfId="6" applyNumberFormat="1" applyFont="1" applyFill="1" applyBorder="1" applyAlignment="1" applyProtection="1">
      <alignment horizontal="center" vertical="center" wrapText="1"/>
    </xf>
    <xf numFmtId="182" fontId="2" fillId="0" borderId="23" xfId="6" applyNumberFormat="1" applyFont="1" applyFill="1" applyBorder="1" applyAlignment="1" applyProtection="1">
      <alignment horizontal="center" vertical="center" wrapText="1"/>
    </xf>
    <xf numFmtId="182" fontId="2" fillId="0" borderId="11" xfId="6" applyNumberFormat="1" applyFont="1" applyFill="1" applyBorder="1" applyAlignment="1" applyProtection="1">
      <alignment horizontal="center" vertical="center" wrapText="1"/>
    </xf>
    <xf numFmtId="0" fontId="9" fillId="3" borderId="3" xfId="0" applyFont="1" applyFill="1" applyBorder="1" applyAlignment="1">
      <alignment horizontal="center" vertical="center" wrapText="1"/>
    </xf>
    <xf numFmtId="0" fontId="85" fillId="3" borderId="3" xfId="0" applyFont="1" applyFill="1" applyBorder="1" applyAlignment="1">
      <alignment horizontal="center" vertical="center" wrapText="1"/>
    </xf>
    <xf numFmtId="0" fontId="2" fillId="3" borderId="0" xfId="6" applyFont="1" applyFill="1" applyBorder="1" applyAlignment="1">
      <alignment horizontal="left" vertical="center" wrapText="1"/>
    </xf>
    <xf numFmtId="4" fontId="85" fillId="3" borderId="3" xfId="0" applyNumberFormat="1" applyFont="1" applyFill="1" applyBorder="1" applyAlignment="1">
      <alignment horizontal="center" vertical="center" wrapText="1"/>
    </xf>
    <xf numFmtId="4" fontId="85" fillId="3" borderId="4" xfId="0" applyNumberFormat="1" applyFont="1" applyFill="1" applyBorder="1" applyAlignment="1">
      <alignment horizontal="center" vertical="center" wrapText="1"/>
    </xf>
    <xf numFmtId="182" fontId="2" fillId="0" borderId="0" xfId="6" applyNumberFormat="1" applyFont="1" applyFill="1" applyBorder="1" applyAlignment="1" applyProtection="1">
      <alignment horizontal="center" vertical="center" wrapText="1"/>
    </xf>
    <xf numFmtId="182" fontId="2" fillId="0" borderId="0" xfId="6" applyNumberFormat="1" applyFont="1" applyFill="1" applyBorder="1" applyAlignment="1" applyProtection="1">
      <alignment horizontal="right" vertical="center" wrapText="1" indent="1"/>
    </xf>
    <xf numFmtId="0" fontId="2" fillId="3" borderId="0" xfId="6" applyFont="1" applyFill="1" applyBorder="1" applyAlignment="1">
      <alignment horizontal="center" vertical="center"/>
    </xf>
    <xf numFmtId="0" fontId="6" fillId="3" borderId="3" xfId="6" applyFont="1" applyFill="1" applyBorder="1" applyAlignment="1">
      <alignment horizontal="left" vertical="center" wrapText="1"/>
    </xf>
    <xf numFmtId="4" fontId="85" fillId="3" borderId="28" xfId="0" applyNumberFormat="1" applyFont="1" applyFill="1" applyBorder="1" applyAlignment="1">
      <alignment horizontal="center" vertical="center" wrapText="1"/>
    </xf>
    <xf numFmtId="4" fontId="85" fillId="3" borderId="52" xfId="0" applyNumberFormat="1" applyFont="1" applyFill="1" applyBorder="1" applyAlignment="1">
      <alignment horizontal="center" vertical="center" wrapText="1"/>
    </xf>
    <xf numFmtId="0" fontId="2" fillId="3" borderId="1" xfId="6" applyFont="1" applyFill="1" applyBorder="1" applyAlignment="1">
      <alignment horizontal="left" vertical="center" wrapText="1"/>
    </xf>
    <xf numFmtId="0" fontId="2" fillId="3" borderId="6" xfId="6" applyFont="1" applyFill="1" applyBorder="1" applyAlignment="1">
      <alignment horizontal="left" vertical="center" wrapText="1" indent="2"/>
    </xf>
    <xf numFmtId="0" fontId="103" fillId="0" borderId="1" xfId="0" applyFont="1" applyBorder="1" applyAlignment="1">
      <alignment horizontal="left" vertical="center" wrapText="1"/>
    </xf>
    <xf numFmtId="0" fontId="2" fillId="3" borderId="6" xfId="6" applyFont="1" applyFill="1" applyBorder="1" applyAlignment="1">
      <alignment horizontal="left" vertical="center" wrapText="1"/>
    </xf>
    <xf numFmtId="0" fontId="16" fillId="3" borderId="31" xfId="6" applyFont="1" applyFill="1" applyBorder="1" applyAlignment="1">
      <alignment horizontal="left" vertical="center" wrapText="1"/>
    </xf>
    <xf numFmtId="0" fontId="8" fillId="0" borderId="1" xfId="6" applyFont="1" applyFill="1" applyBorder="1" applyAlignment="1">
      <alignment horizontal="left" vertical="center"/>
    </xf>
    <xf numFmtId="0" fontId="103" fillId="0" borderId="9" xfId="0" applyFont="1" applyBorder="1" applyAlignment="1">
      <alignment horizontal="center" vertical="center" wrapText="1"/>
    </xf>
    <xf numFmtId="0" fontId="103" fillId="0" borderId="60" xfId="0" applyFont="1" applyBorder="1" applyAlignment="1">
      <alignment horizontal="center" vertical="center" wrapText="1"/>
    </xf>
    <xf numFmtId="0" fontId="103" fillId="0" borderId="25" xfId="0" applyFont="1" applyBorder="1" applyAlignment="1">
      <alignment horizontal="center" vertical="center" wrapText="1"/>
    </xf>
    <xf numFmtId="0" fontId="5" fillId="3" borderId="13" xfId="6" applyFont="1" applyFill="1" applyBorder="1" applyAlignment="1">
      <alignment horizontal="left" vertical="center" wrapText="1" indent="5"/>
    </xf>
    <xf numFmtId="0" fontId="16" fillId="3" borderId="1" xfId="6" applyFont="1" applyFill="1" applyBorder="1" applyAlignment="1">
      <alignment horizontal="left" vertical="center" wrapText="1"/>
    </xf>
    <xf numFmtId="4" fontId="2" fillId="3" borderId="3" xfId="6" applyNumberFormat="1" applyFont="1" applyFill="1" applyBorder="1" applyAlignment="1">
      <alignment horizontal="center" vertical="center" wrapText="1"/>
    </xf>
    <xf numFmtId="0" fontId="16" fillId="3" borderId="3" xfId="6" applyFont="1" applyFill="1" applyBorder="1" applyAlignment="1">
      <alignment horizontal="left" vertical="center" wrapText="1"/>
    </xf>
    <xf numFmtId="0" fontId="2" fillId="3" borderId="1" xfId="6" applyFont="1" applyFill="1" applyBorder="1" applyAlignment="1">
      <alignment horizontal="left" vertical="center" wrapText="1" indent="3"/>
    </xf>
    <xf numFmtId="0" fontId="17" fillId="3" borderId="1" xfId="6" applyFont="1" applyFill="1" applyBorder="1" applyAlignment="1">
      <alignment horizontal="center" vertical="center" wrapText="1"/>
    </xf>
    <xf numFmtId="0" fontId="2" fillId="3" borderId="3" xfId="6" applyFont="1" applyFill="1" applyBorder="1" applyAlignment="1">
      <alignment horizontal="left" vertical="center" wrapText="1"/>
    </xf>
    <xf numFmtId="0" fontId="85" fillId="3" borderId="1" xfId="6" applyFont="1" applyFill="1" applyBorder="1" applyAlignment="1">
      <alignment horizontal="left" vertical="center" wrapText="1"/>
    </xf>
    <xf numFmtId="0" fontId="2" fillId="3" borderId="6" xfId="6" applyFont="1" applyFill="1" applyBorder="1" applyAlignment="1">
      <alignment horizontal="left" vertical="center" wrapText="1" indent="3"/>
    </xf>
    <xf numFmtId="0" fontId="2" fillId="3" borderId="11" xfId="6" applyFont="1" applyFill="1" applyBorder="1" applyAlignment="1">
      <alignment horizontal="left" vertical="center" wrapText="1"/>
    </xf>
    <xf numFmtId="0" fontId="2" fillId="3" borderId="13" xfId="6" applyFont="1" applyFill="1" applyBorder="1" applyAlignment="1">
      <alignment horizontal="left" vertical="center" wrapText="1"/>
    </xf>
    <xf numFmtId="0" fontId="16" fillId="3" borderId="15" xfId="6" applyFont="1" applyFill="1" applyBorder="1" applyAlignment="1">
      <alignment horizontal="left" vertical="center" wrapText="1"/>
    </xf>
    <xf numFmtId="0" fontId="97" fillId="3" borderId="0" xfId="6" applyFont="1" applyFill="1" applyBorder="1" applyAlignment="1">
      <alignment horizontal="left" vertical="center"/>
    </xf>
    <xf numFmtId="0" fontId="103" fillId="3" borderId="3" xfId="6" applyFont="1" applyFill="1" applyBorder="1" applyAlignment="1">
      <alignment horizontal="center" vertical="center"/>
    </xf>
    <xf numFmtId="0" fontId="2" fillId="0" borderId="11" xfId="6" applyFont="1" applyFill="1" applyBorder="1" applyAlignment="1">
      <alignment horizontal="left" vertical="center" wrapText="1"/>
    </xf>
    <xf numFmtId="0" fontId="2" fillId="3" borderId="2" xfId="6" applyFont="1" applyFill="1" applyBorder="1" applyAlignment="1">
      <alignment horizontal="left" vertical="center" wrapText="1" indent="3"/>
    </xf>
    <xf numFmtId="0" fontId="2" fillId="0" borderId="8" xfId="6" applyFont="1" applyFill="1" applyBorder="1" applyAlignment="1">
      <alignment horizontal="left" vertical="center" wrapText="1" indent="3"/>
    </xf>
    <xf numFmtId="0" fontId="2" fillId="0" borderId="6" xfId="6" applyFont="1" applyFill="1" applyBorder="1" applyAlignment="1">
      <alignment horizontal="left" vertical="center" wrapText="1" indent="3"/>
    </xf>
    <xf numFmtId="0" fontId="97" fillId="3" borderId="17" xfId="6" applyFont="1" applyFill="1" applyBorder="1" applyAlignment="1">
      <alignment horizontal="left" vertical="center" wrapText="1"/>
    </xf>
    <xf numFmtId="0" fontId="12" fillId="0" borderId="0" xfId="6" applyFont="1" applyFill="1" applyBorder="1" applyAlignment="1" applyProtection="1">
      <alignment horizontal="center" vertical="center"/>
      <protection locked="0"/>
    </xf>
    <xf numFmtId="0" fontId="2" fillId="0" borderId="60" xfId="6" applyFont="1" applyFill="1" applyBorder="1" applyAlignment="1">
      <alignment horizontal="left" vertical="center" wrapText="1"/>
    </xf>
    <xf numFmtId="0" fontId="2" fillId="0" borderId="25" xfId="6" applyFont="1" applyFill="1" applyBorder="1" applyAlignment="1">
      <alignment horizontal="left" vertical="center" wrapText="1"/>
    </xf>
    <xf numFmtId="0" fontId="85" fillId="3" borderId="9" xfId="6" applyFont="1" applyFill="1" applyBorder="1" applyAlignment="1">
      <alignment horizontal="left" vertical="center" wrapText="1"/>
    </xf>
    <xf numFmtId="0" fontId="85" fillId="3" borderId="25" xfId="6" applyFont="1" applyFill="1" applyBorder="1" applyAlignment="1">
      <alignment horizontal="left" vertical="center" wrapText="1"/>
    </xf>
    <xf numFmtId="0" fontId="6" fillId="0" borderId="3" xfId="6" applyFont="1" applyFill="1" applyBorder="1" applyAlignment="1">
      <alignment horizontal="left" vertical="center" wrapText="1"/>
    </xf>
    <xf numFmtId="0" fontId="103" fillId="3" borderId="9" xfId="6" applyFont="1" applyFill="1" applyBorder="1" applyAlignment="1">
      <alignment horizontal="center" vertical="center"/>
    </xf>
    <xf numFmtId="0" fontId="103" fillId="3" borderId="60" xfId="6" applyFont="1" applyFill="1" applyBorder="1" applyAlignment="1">
      <alignment horizontal="center" vertical="center"/>
    </xf>
    <xf numFmtId="0" fontId="103" fillId="3" borderId="25" xfId="6" applyFont="1" applyFill="1" applyBorder="1" applyAlignment="1">
      <alignment horizontal="center" vertical="center"/>
    </xf>
    <xf numFmtId="0" fontId="148" fillId="3" borderId="1" xfId="6" applyFont="1" applyFill="1" applyBorder="1" applyAlignment="1">
      <alignment horizontal="left" vertical="center" wrapText="1" indent="2"/>
    </xf>
    <xf numFmtId="0" fontId="2" fillId="0" borderId="2" xfId="6" applyFont="1" applyFill="1" applyBorder="1" applyAlignment="1">
      <alignment horizontal="left" vertical="center" wrapText="1" indent="3"/>
    </xf>
    <xf numFmtId="0" fontId="2" fillId="0" borderId="1" xfId="6" applyFont="1" applyFill="1" applyBorder="1" applyAlignment="1">
      <alignment horizontal="left" vertical="center" wrapText="1" indent="3"/>
    </xf>
    <xf numFmtId="4" fontId="2" fillId="3" borderId="69" xfId="6" applyNumberFormat="1" applyFont="1" applyFill="1" applyBorder="1" applyAlignment="1">
      <alignment horizontal="center" vertical="center"/>
    </xf>
    <xf numFmtId="0" fontId="86" fillId="3" borderId="6" xfId="6" applyFont="1" applyFill="1" applyBorder="1" applyAlignment="1">
      <alignment horizontal="center" vertical="center" wrapText="1"/>
    </xf>
    <xf numFmtId="0" fontId="6" fillId="3" borderId="13" xfId="6" applyFont="1" applyFill="1" applyBorder="1" applyAlignment="1">
      <alignment horizontal="left" vertical="center"/>
    </xf>
    <xf numFmtId="0" fontId="5" fillId="3" borderId="1" xfId="6" applyFont="1" applyFill="1" applyBorder="1" applyAlignment="1">
      <alignment horizontal="left" vertical="center" wrapText="1" indent="5"/>
    </xf>
    <xf numFmtId="0" fontId="85" fillId="3" borderId="1" xfId="6" applyFont="1" applyFill="1" applyBorder="1" applyAlignment="1">
      <alignment horizontal="left" vertical="center" wrapText="1" indent="3"/>
    </xf>
    <xf numFmtId="0" fontId="26" fillId="3" borderId="9" xfId="6" applyFont="1" applyFill="1" applyBorder="1" applyAlignment="1">
      <alignment horizontal="center" vertical="center" wrapText="1"/>
    </xf>
    <xf numFmtId="0" fontId="26" fillId="3" borderId="60" xfId="6" applyFont="1" applyFill="1" applyBorder="1" applyAlignment="1">
      <alignment horizontal="center" vertical="center" wrapText="1"/>
    </xf>
    <xf numFmtId="0" fontId="26" fillId="3" borderId="25" xfId="6" applyFont="1" applyFill="1" applyBorder="1" applyAlignment="1">
      <alignment horizontal="center" vertical="center" wrapText="1"/>
    </xf>
    <xf numFmtId="0" fontId="12" fillId="3" borderId="3" xfId="6" applyFont="1" applyFill="1" applyBorder="1" applyAlignment="1">
      <alignment horizontal="center" vertical="center" wrapText="1"/>
    </xf>
    <xf numFmtId="4" fontId="85" fillId="3" borderId="1" xfId="0" applyNumberFormat="1" applyFont="1" applyFill="1" applyBorder="1" applyAlignment="1">
      <alignment horizontal="center" vertical="center" wrapText="1"/>
    </xf>
    <xf numFmtId="16" fontId="17" fillId="3" borderId="8" xfId="6" applyNumberFormat="1" applyFont="1" applyFill="1" applyBorder="1" applyAlignment="1">
      <alignment horizontal="left" wrapText="1" indent="2"/>
    </xf>
    <xf numFmtId="16" fontId="17" fillId="3" borderId="6" xfId="6" applyNumberFormat="1" applyFont="1" applyFill="1" applyBorder="1" applyAlignment="1">
      <alignment horizontal="left" wrapText="1" indent="2"/>
    </xf>
    <xf numFmtId="0" fontId="12" fillId="0" borderId="15" xfId="6" applyFont="1" applyFill="1" applyBorder="1" applyAlignment="1">
      <alignment horizontal="center" vertical="center"/>
    </xf>
    <xf numFmtId="0" fontId="12" fillId="0" borderId="2" xfId="6" applyFont="1" applyFill="1" applyBorder="1" applyAlignment="1">
      <alignment horizontal="center" vertical="center"/>
    </xf>
    <xf numFmtId="0" fontId="8" fillId="0" borderId="8" xfId="6" applyFont="1" applyFill="1" applyBorder="1" applyAlignment="1">
      <alignment horizontal="center" vertical="center"/>
    </xf>
    <xf numFmtId="0" fontId="8" fillId="0" borderId="6" xfId="6" applyFont="1" applyFill="1" applyBorder="1" applyAlignment="1">
      <alignment horizontal="center" vertical="center"/>
    </xf>
    <xf numFmtId="182" fontId="2" fillId="0" borderId="2" xfId="6" applyNumberFormat="1" applyFont="1" applyFill="1" applyBorder="1" applyAlignment="1" applyProtection="1">
      <alignment horizontal="center" vertical="center" wrapText="1"/>
    </xf>
    <xf numFmtId="0" fontId="2" fillId="0" borderId="67" xfId="6" applyFont="1" applyFill="1" applyBorder="1" applyAlignment="1" applyProtection="1">
      <alignment horizontal="center" vertical="center" wrapText="1"/>
    </xf>
    <xf numFmtId="0" fontId="2" fillId="0" borderId="68" xfId="6" applyFont="1" applyFill="1" applyBorder="1" applyAlignment="1" applyProtection="1">
      <alignment horizontal="center" vertical="center" wrapText="1"/>
    </xf>
    <xf numFmtId="0" fontId="2" fillId="0" borderId="27" xfId="6" applyFont="1" applyFill="1" applyBorder="1" applyAlignment="1" applyProtection="1">
      <alignment horizontal="center" vertical="center" wrapText="1"/>
    </xf>
    <xf numFmtId="0" fontId="2" fillId="0" borderId="74" xfId="6" applyFont="1" applyFill="1" applyBorder="1" applyAlignment="1" applyProtection="1">
      <alignment horizontal="center" vertical="center" wrapText="1"/>
    </xf>
    <xf numFmtId="0" fontId="93" fillId="0" borderId="0" xfId="6" applyFont="1" applyFill="1" applyBorder="1" applyAlignment="1">
      <alignment horizontal="center" vertical="center" wrapText="1"/>
    </xf>
    <xf numFmtId="4" fontId="85" fillId="3" borderId="5" xfId="0" applyNumberFormat="1" applyFont="1" applyFill="1" applyBorder="1" applyAlignment="1" applyProtection="1">
      <alignment horizontal="center" vertical="center" wrapText="1"/>
    </xf>
    <xf numFmtId="0" fontId="2" fillId="0" borderId="9" xfId="6" applyFont="1" applyFill="1" applyBorder="1" applyAlignment="1" applyProtection="1">
      <alignment horizontal="center" vertical="center"/>
    </xf>
    <xf numFmtId="0" fontId="2" fillId="0" borderId="77" xfId="6" applyFont="1" applyFill="1" applyBorder="1" applyAlignment="1" applyProtection="1">
      <alignment horizontal="center" vertical="center"/>
    </xf>
    <xf numFmtId="0" fontId="2" fillId="0" borderId="24" xfId="6" applyFont="1" applyFill="1" applyBorder="1" applyAlignment="1" applyProtection="1">
      <alignment horizontal="center" vertical="center"/>
    </xf>
    <xf numFmtId="0" fontId="2" fillId="0" borderId="78" xfId="6" applyFont="1" applyFill="1" applyBorder="1" applyAlignment="1" applyProtection="1">
      <alignment horizontal="center" vertical="center"/>
    </xf>
    <xf numFmtId="0" fontId="8" fillId="3" borderId="3" xfId="6" applyFont="1" applyFill="1" applyBorder="1" applyAlignment="1">
      <alignment horizontal="center" vertical="center" wrapText="1"/>
    </xf>
    <xf numFmtId="0" fontId="8" fillId="3" borderId="4" xfId="6" applyFont="1" applyFill="1" applyBorder="1" applyAlignment="1">
      <alignment horizontal="center" vertical="center" wrapText="1"/>
    </xf>
    <xf numFmtId="0" fontId="8" fillId="0" borderId="44" xfId="6" applyFont="1" applyFill="1" applyBorder="1" applyAlignment="1">
      <alignment horizontal="center" vertical="center"/>
    </xf>
    <xf numFmtId="0" fontId="8" fillId="0" borderId="53" xfId="6" applyFont="1" applyFill="1" applyBorder="1" applyAlignment="1">
      <alignment horizontal="center" vertical="center"/>
    </xf>
    <xf numFmtId="0" fontId="8" fillId="0" borderId="45" xfId="6" applyFont="1" applyFill="1" applyBorder="1" applyAlignment="1">
      <alignment horizontal="center" vertical="center"/>
    </xf>
    <xf numFmtId="0" fontId="8" fillId="0" borderId="26" xfId="6" applyFont="1" applyFill="1" applyBorder="1" applyAlignment="1">
      <alignment horizontal="center" vertical="center"/>
    </xf>
    <xf numFmtId="4" fontId="85" fillId="3" borderId="5" xfId="0" applyNumberFormat="1" applyFont="1" applyFill="1" applyBorder="1" applyAlignment="1">
      <alignment horizontal="center" vertical="center" wrapText="1"/>
    </xf>
    <xf numFmtId="0" fontId="5" fillId="3" borderId="0" xfId="6" applyFont="1" applyFill="1" applyBorder="1" applyAlignment="1">
      <alignment horizontal="left" vertical="center"/>
    </xf>
    <xf numFmtId="0" fontId="5" fillId="3" borderId="0" xfId="6" applyFont="1" applyFill="1" applyBorder="1" applyAlignment="1">
      <alignment horizontal="left" vertical="center" wrapText="1"/>
    </xf>
    <xf numFmtId="0" fontId="5" fillId="3" borderId="0" xfId="5" applyFont="1" applyFill="1" applyBorder="1" applyAlignment="1">
      <alignment horizontal="left" vertical="center"/>
    </xf>
    <xf numFmtId="0" fontId="12" fillId="3" borderId="15" xfId="6" applyFont="1" applyFill="1" applyBorder="1" applyAlignment="1">
      <alignment horizontal="center" vertical="center"/>
    </xf>
    <xf numFmtId="0" fontId="12" fillId="3" borderId="2" xfId="6" applyFont="1" applyFill="1" applyBorder="1" applyAlignment="1">
      <alignment horizontal="center" vertical="center"/>
    </xf>
    <xf numFmtId="0" fontId="8" fillId="0" borderId="1" xfId="6" applyFont="1" applyFill="1" applyBorder="1" applyAlignment="1">
      <alignment horizontal="left" vertical="center" wrapText="1" indent="2"/>
    </xf>
    <xf numFmtId="0" fontId="2" fillId="0" borderId="3" xfId="6" applyFont="1" applyFill="1" applyBorder="1" applyAlignment="1">
      <alignment horizontal="center" vertical="center" wrapText="1"/>
    </xf>
    <xf numFmtId="0" fontId="2" fillId="0" borderId="1" xfId="6" applyFont="1" applyFill="1" applyBorder="1" applyAlignment="1">
      <alignment horizontal="center" vertical="center" wrapText="1"/>
    </xf>
    <xf numFmtId="0" fontId="8" fillId="3" borderId="6" xfId="6" applyFont="1" applyFill="1" applyBorder="1" applyAlignment="1">
      <alignment horizontal="left" vertical="center" wrapText="1"/>
    </xf>
    <xf numFmtId="0" fontId="2" fillId="0" borderId="3" xfId="6" applyFont="1" applyFill="1" applyBorder="1" applyAlignment="1">
      <alignment horizontal="center" vertical="center"/>
    </xf>
    <xf numFmtId="0" fontId="2" fillId="0" borderId="1" xfId="6" applyFont="1" applyFill="1" applyBorder="1" applyAlignment="1">
      <alignment horizontal="center" vertical="center"/>
    </xf>
    <xf numFmtId="0" fontId="8" fillId="0" borderId="1" xfId="6" applyFont="1" applyFill="1" applyBorder="1" applyAlignment="1">
      <alignment horizontal="left" vertical="center" wrapText="1"/>
    </xf>
    <xf numFmtId="0" fontId="8" fillId="0" borderId="6" xfId="6" applyFont="1" applyFill="1" applyBorder="1" applyAlignment="1">
      <alignment horizontal="left" vertical="center" wrapText="1" indent="2"/>
    </xf>
    <xf numFmtId="16" fontId="17" fillId="3" borderId="2" xfId="6" applyNumberFormat="1" applyFont="1" applyFill="1" applyBorder="1" applyAlignment="1">
      <alignment horizontal="left" wrapText="1" indent="2"/>
    </xf>
    <xf numFmtId="16" fontId="17" fillId="3" borderId="1" xfId="6" applyNumberFormat="1" applyFont="1" applyFill="1" applyBorder="1" applyAlignment="1">
      <alignment horizontal="left" wrapText="1" indent="2"/>
    </xf>
    <xf numFmtId="0" fontId="149" fillId="0" borderId="0" xfId="6" applyFont="1" applyFill="1" applyBorder="1" applyAlignment="1">
      <alignment horizontal="center" vertical="center"/>
    </xf>
    <xf numFmtId="49" fontId="12" fillId="3" borderId="3" xfId="6" applyNumberFormat="1" applyFont="1" applyFill="1" applyBorder="1" applyAlignment="1">
      <alignment horizontal="center" vertical="center" wrapText="1"/>
    </xf>
    <xf numFmtId="49" fontId="12" fillId="3" borderId="1" xfId="6" applyNumberFormat="1" applyFont="1" applyFill="1" applyBorder="1" applyAlignment="1">
      <alignment horizontal="center" vertical="center" wrapText="1"/>
    </xf>
    <xf numFmtId="0" fontId="16" fillId="3" borderId="6" xfId="6" applyFont="1" applyFill="1" applyBorder="1" applyAlignment="1">
      <alignment horizontal="left" vertical="center" wrapText="1"/>
    </xf>
    <xf numFmtId="0" fontId="17" fillId="3" borderId="2" xfId="6" applyFont="1" applyFill="1" applyBorder="1" applyAlignment="1">
      <alignment horizontal="center" vertical="center" wrapText="1"/>
    </xf>
    <xf numFmtId="49" fontId="17" fillId="3" borderId="15" xfId="6" applyNumberFormat="1" applyFont="1" applyFill="1" applyBorder="1" applyAlignment="1">
      <alignment horizontal="center" vertical="center" wrapText="1"/>
    </xf>
    <xf numFmtId="0" fontId="17" fillId="3" borderId="3" xfId="6" applyFont="1" applyFill="1" applyBorder="1" applyAlignment="1">
      <alignment horizontal="center" vertical="center" wrapText="1"/>
    </xf>
    <xf numFmtId="0" fontId="8" fillId="0" borderId="24"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9" xfId="6" applyFont="1" applyFill="1" applyBorder="1" applyAlignment="1">
      <alignment horizontal="center" vertical="center"/>
    </xf>
    <xf numFmtId="0" fontId="8" fillId="0" borderId="60" xfId="6" applyFont="1" applyFill="1" applyBorder="1" applyAlignment="1">
      <alignment horizontal="center" vertical="center"/>
    </xf>
    <xf numFmtId="0" fontId="8" fillId="3" borderId="28" xfId="6" applyFont="1" applyFill="1" applyBorder="1" applyAlignment="1">
      <alignment horizontal="center" vertical="center" wrapText="1"/>
    </xf>
    <xf numFmtId="0" fontId="8" fillId="3" borderId="52" xfId="6" applyFont="1" applyFill="1" applyBorder="1" applyAlignment="1">
      <alignment horizontal="center" vertical="center" wrapText="1"/>
    </xf>
    <xf numFmtId="0" fontId="8" fillId="0" borderId="54" xfId="6" applyFont="1" applyFill="1" applyBorder="1" applyAlignment="1">
      <alignment horizontal="center" vertical="center"/>
    </xf>
    <xf numFmtId="0" fontId="8" fillId="0" borderId="29" xfId="6" applyFont="1" applyFill="1" applyBorder="1" applyAlignment="1">
      <alignment horizontal="center" vertical="center"/>
    </xf>
    <xf numFmtId="0" fontId="8" fillId="0" borderId="32" xfId="6" applyFont="1" applyFill="1" applyBorder="1" applyAlignment="1">
      <alignment horizontal="center" vertical="center"/>
    </xf>
    <xf numFmtId="0" fontId="8" fillId="0" borderId="69" xfId="6" applyFont="1" applyFill="1" applyBorder="1" applyAlignment="1">
      <alignment horizontal="center" vertical="center"/>
    </xf>
    <xf numFmtId="0" fontId="8" fillId="0" borderId="2" xfId="6" applyFont="1" applyFill="1" applyBorder="1" applyAlignment="1">
      <alignment horizontal="center" vertical="center"/>
    </xf>
    <xf numFmtId="0" fontId="8" fillId="0" borderId="1" xfId="6" applyFont="1" applyFill="1" applyBorder="1" applyAlignment="1">
      <alignment horizontal="center" vertical="center"/>
    </xf>
    <xf numFmtId="0" fontId="2" fillId="0" borderId="69" xfId="6" applyFont="1" applyFill="1" applyBorder="1" applyAlignment="1" applyProtection="1">
      <alignment horizontal="left" vertical="center" wrapText="1"/>
      <protection locked="0"/>
    </xf>
    <xf numFmtId="0" fontId="5" fillId="0" borderId="0" xfId="6" applyFont="1" applyFill="1" applyBorder="1" applyAlignment="1">
      <alignment horizontal="right" vertical="center"/>
    </xf>
    <xf numFmtId="0" fontId="81" fillId="0" borderId="1" xfId="0" applyFont="1" applyBorder="1" applyAlignment="1">
      <alignment horizontal="center" vertical="center" wrapText="1"/>
    </xf>
    <xf numFmtId="182" fontId="2" fillId="0" borderId="5" xfId="6" applyNumberFormat="1" applyFont="1" applyFill="1" applyBorder="1" applyAlignment="1" applyProtection="1">
      <alignment horizontal="center" vertical="center" wrapText="1"/>
    </xf>
    <xf numFmtId="4" fontId="93" fillId="3" borderId="57" xfId="0" applyNumberFormat="1" applyFont="1" applyFill="1" applyBorder="1" applyAlignment="1">
      <alignment horizontal="center" vertical="center" wrapText="1"/>
    </xf>
    <xf numFmtId="4" fontId="93" fillId="3" borderId="0" xfId="0" applyNumberFormat="1" applyFont="1" applyFill="1" applyBorder="1" applyAlignment="1">
      <alignment horizontal="center" vertical="center" wrapText="1"/>
    </xf>
    <xf numFmtId="0" fontId="2" fillId="0" borderId="2" xfId="6" applyFont="1" applyFill="1" applyBorder="1" applyAlignment="1">
      <alignment horizontal="center" vertical="center" wrapText="1"/>
    </xf>
    <xf numFmtId="0" fontId="2" fillId="0" borderId="5" xfId="6" applyFont="1" applyFill="1" applyBorder="1" applyAlignment="1">
      <alignment horizontal="center" vertical="center" wrapText="1"/>
    </xf>
    <xf numFmtId="0" fontId="85" fillId="0" borderId="15" xfId="6" applyFont="1" applyFill="1" applyBorder="1" applyAlignment="1" applyProtection="1">
      <alignment horizontal="center" vertical="center" wrapText="1"/>
    </xf>
    <xf numFmtId="0" fontId="85" fillId="0" borderId="3" xfId="6" applyFont="1" applyFill="1" applyBorder="1" applyAlignment="1" applyProtection="1">
      <alignment horizontal="center" vertical="center" wrapText="1"/>
    </xf>
    <xf numFmtId="0" fontId="85" fillId="0" borderId="4" xfId="6" applyFont="1" applyFill="1" applyBorder="1" applyAlignment="1" applyProtection="1">
      <alignment horizontal="center" vertical="center" wrapText="1"/>
    </xf>
    <xf numFmtId="0" fontId="86" fillId="10" borderId="43" xfId="0" applyFont="1" applyFill="1" applyBorder="1" applyAlignment="1">
      <alignment horizontal="left" wrapText="1"/>
    </xf>
    <xf numFmtId="0" fontId="86" fillId="10" borderId="60" xfId="0" applyFont="1" applyFill="1" applyBorder="1" applyAlignment="1">
      <alignment horizontal="left" wrapText="1"/>
    </xf>
    <xf numFmtId="0" fontId="86" fillId="10" borderId="25" xfId="0" applyFont="1" applyFill="1" applyBorder="1" applyAlignment="1">
      <alignment horizontal="left" wrapText="1"/>
    </xf>
    <xf numFmtId="0" fontId="86" fillId="10" borderId="60" xfId="0" applyFont="1" applyFill="1" applyBorder="1" applyAlignment="1">
      <alignment horizontal="left" wrapText="1" indent="2"/>
    </xf>
    <xf numFmtId="0" fontId="86" fillId="10" borderId="25" xfId="0" applyFont="1" applyFill="1" applyBorder="1" applyAlignment="1">
      <alignment horizontal="left" wrapText="1" indent="2"/>
    </xf>
    <xf numFmtId="4" fontId="80" fillId="0" borderId="0" xfId="0" applyNumberFormat="1" applyFont="1" applyAlignment="1" applyProtection="1">
      <alignment horizontal="center" vertical="center" wrapText="1"/>
      <protection locked="0"/>
    </xf>
    <xf numFmtId="4" fontId="103" fillId="0" borderId="0" xfId="0" applyNumberFormat="1" applyFont="1" applyAlignment="1" applyProtection="1">
      <alignment horizontal="center" vertical="center"/>
      <protection locked="0"/>
    </xf>
    <xf numFmtId="0" fontId="86" fillId="0" borderId="2" xfId="0" applyFont="1" applyFill="1" applyBorder="1" applyAlignment="1">
      <alignment horizontal="left" wrapText="1" indent="1"/>
    </xf>
    <xf numFmtId="0" fontId="86" fillId="0" borderId="1" xfId="0" applyFont="1" applyFill="1" applyBorder="1" applyAlignment="1">
      <alignment horizontal="left" wrapText="1" indent="1"/>
    </xf>
    <xf numFmtId="0" fontId="85" fillId="0" borderId="2" xfId="0" applyFont="1" applyFill="1" applyBorder="1" applyAlignment="1">
      <alignment horizontal="left" wrapText="1"/>
    </xf>
    <xf numFmtId="0" fontId="85" fillId="0" borderId="1" xfId="0" applyFont="1" applyFill="1" applyBorder="1" applyAlignment="1">
      <alignment horizontal="left" wrapText="1"/>
    </xf>
    <xf numFmtId="0" fontId="87" fillId="0" borderId="2" xfId="0" applyFont="1" applyFill="1" applyBorder="1" applyAlignment="1">
      <alignment horizontal="left" wrapText="1" indent="1"/>
    </xf>
    <xf numFmtId="0" fontId="87" fillId="0" borderId="1" xfId="0" applyFont="1" applyFill="1" applyBorder="1" applyAlignment="1">
      <alignment horizontal="left" wrapText="1" indent="1"/>
    </xf>
    <xf numFmtId="0" fontId="83" fillId="0" borderId="15" xfId="0" applyFont="1" applyBorder="1" applyAlignment="1">
      <alignment horizontal="center" vertical="center"/>
    </xf>
    <xf numFmtId="0" fontId="83" fillId="0" borderId="3" xfId="0" applyFont="1" applyBorder="1" applyAlignment="1">
      <alignment horizontal="center" vertical="center"/>
    </xf>
    <xf numFmtId="0" fontId="86" fillId="3" borderId="0" xfId="0" applyFont="1" applyFill="1" applyBorder="1" applyAlignment="1">
      <alignment horizontal="left" wrapText="1"/>
    </xf>
    <xf numFmtId="0" fontId="85" fillId="6" borderId="2" xfId="0" applyFont="1" applyFill="1" applyBorder="1" applyAlignment="1">
      <alignment horizontal="left" wrapText="1"/>
    </xf>
    <xf numFmtId="0" fontId="85" fillId="6" borderId="1" xfId="0" applyFont="1" applyFill="1" applyBorder="1" applyAlignment="1">
      <alignment horizontal="left" wrapText="1"/>
    </xf>
    <xf numFmtId="0" fontId="86" fillId="0" borderId="2" xfId="0" applyFont="1" applyFill="1" applyBorder="1" applyAlignment="1">
      <alignment horizontal="left" wrapText="1"/>
    </xf>
    <xf numFmtId="0" fontId="86" fillId="0" borderId="1" xfId="0" applyFont="1" applyFill="1" applyBorder="1" applyAlignment="1">
      <alignment horizontal="left" wrapText="1"/>
    </xf>
    <xf numFmtId="0" fontId="83" fillId="0" borderId="66" xfId="0" applyFont="1" applyBorder="1" applyAlignment="1">
      <alignment horizontal="left" wrapText="1"/>
    </xf>
    <xf numFmtId="0" fontId="83" fillId="0" borderId="67" xfId="0" applyFont="1" applyBorder="1" applyAlignment="1">
      <alignment horizontal="left" wrapText="1"/>
    </xf>
    <xf numFmtId="0" fontId="83" fillId="0" borderId="52" xfId="0" applyFont="1" applyBorder="1" applyAlignment="1">
      <alignment horizontal="left" wrapText="1"/>
    </xf>
    <xf numFmtId="0" fontId="85" fillId="4" borderId="2" xfId="0" applyFont="1" applyFill="1" applyBorder="1" applyAlignment="1">
      <alignment horizontal="left" wrapText="1"/>
    </xf>
    <xf numFmtId="0" fontId="85" fillId="4" borderId="1" xfId="0" applyFont="1" applyFill="1" applyBorder="1" applyAlignment="1">
      <alignment horizontal="left" wrapText="1"/>
    </xf>
    <xf numFmtId="0" fontId="105" fillId="4" borderId="8" xfId="0" applyFont="1" applyFill="1" applyBorder="1" applyAlignment="1">
      <alignment horizontal="left" wrapText="1"/>
    </xf>
    <xf numFmtId="0" fontId="105" fillId="4" borderId="6" xfId="0" applyFont="1" applyFill="1" applyBorder="1" applyAlignment="1">
      <alignment horizontal="left" wrapText="1"/>
    </xf>
    <xf numFmtId="0" fontId="83" fillId="0" borderId="15" xfId="0" applyFont="1" applyBorder="1" applyAlignment="1">
      <alignment horizontal="left" vertical="center" wrapText="1"/>
    </xf>
    <xf numFmtId="0" fontId="83" fillId="0" borderId="3" xfId="0" applyFont="1" applyBorder="1" applyAlignment="1">
      <alignment horizontal="left" vertical="center" wrapText="1"/>
    </xf>
    <xf numFmtId="0" fontId="85" fillId="0" borderId="14" xfId="0" applyFont="1" applyBorder="1" applyAlignment="1">
      <alignment horizontal="center"/>
    </xf>
    <xf numFmtId="0" fontId="85" fillId="0" borderId="13" xfId="0" applyFont="1" applyBorder="1" applyAlignment="1">
      <alignment horizontal="center"/>
    </xf>
    <xf numFmtId="0" fontId="83" fillId="0" borderId="36" xfId="0" applyFont="1" applyBorder="1" applyAlignment="1">
      <alignment horizontal="left" wrapText="1"/>
    </xf>
    <xf numFmtId="0" fontId="83" fillId="0" borderId="20" xfId="0" applyFont="1" applyBorder="1" applyAlignment="1">
      <alignment horizontal="left" wrapText="1"/>
    </xf>
    <xf numFmtId="0" fontId="86" fillId="10" borderId="2" xfId="0" applyFont="1" applyFill="1" applyBorder="1" applyAlignment="1">
      <alignment horizontal="left" wrapText="1"/>
    </xf>
    <xf numFmtId="0" fontId="86" fillId="10" borderId="1" xfId="0" applyFont="1" applyFill="1" applyBorder="1" applyAlignment="1">
      <alignment horizontal="left" wrapText="1"/>
    </xf>
    <xf numFmtId="0" fontId="86" fillId="10" borderId="2" xfId="0" applyFont="1" applyFill="1" applyBorder="1" applyAlignment="1">
      <alignment horizontal="left" wrapText="1" indent="2"/>
    </xf>
    <xf numFmtId="0" fontId="86" fillId="10" borderId="1" xfId="0" applyFont="1" applyFill="1" applyBorder="1" applyAlignment="1">
      <alignment horizontal="left" wrapText="1" indent="2"/>
    </xf>
    <xf numFmtId="0" fontId="85" fillId="3" borderId="2" xfId="0" applyFont="1" applyFill="1" applyBorder="1" applyAlignment="1">
      <alignment horizontal="left" wrapText="1"/>
    </xf>
    <xf numFmtId="0" fontId="85" fillId="3" borderId="1" xfId="0" applyFont="1" applyFill="1" applyBorder="1" applyAlignment="1">
      <alignment horizontal="left" wrapText="1"/>
    </xf>
    <xf numFmtId="0" fontId="86" fillId="10" borderId="2" xfId="0" applyFont="1" applyFill="1" applyBorder="1" applyAlignment="1">
      <alignment horizontal="left" wrapText="1" indent="1"/>
    </xf>
    <xf numFmtId="0" fontId="86" fillId="10" borderId="1" xfId="0" applyFont="1" applyFill="1" applyBorder="1" applyAlignment="1">
      <alignment horizontal="left" wrapText="1" indent="1"/>
    </xf>
    <xf numFmtId="0" fontId="83" fillId="0" borderId="21" xfId="0" applyFont="1" applyBorder="1" applyAlignment="1">
      <alignment horizontal="left" wrapText="1"/>
    </xf>
    <xf numFmtId="0" fontId="83" fillId="0" borderId="11" xfId="0" applyFont="1" applyBorder="1" applyAlignment="1">
      <alignment horizontal="left" wrapText="1"/>
    </xf>
    <xf numFmtId="0" fontId="105" fillId="0" borderId="2" xfId="0" applyFont="1" applyFill="1" applyBorder="1" applyAlignment="1">
      <alignment horizontal="left" wrapText="1"/>
    </xf>
    <xf numFmtId="0" fontId="105" fillId="0" borderId="1" xfId="0" applyFont="1" applyFill="1" applyBorder="1" applyAlignment="1">
      <alignment horizontal="left" wrapText="1"/>
    </xf>
    <xf numFmtId="0" fontId="83" fillId="6" borderId="36" xfId="0" applyFont="1" applyFill="1" applyBorder="1" applyAlignment="1">
      <alignment horizontal="left"/>
    </xf>
    <xf numFmtId="0" fontId="83" fillId="6" borderId="20" xfId="0" applyFont="1" applyFill="1" applyBorder="1" applyAlignment="1">
      <alignment horizontal="left"/>
    </xf>
    <xf numFmtId="0" fontId="86" fillId="10" borderId="43" xfId="0" applyFont="1" applyFill="1" applyBorder="1" applyAlignment="1">
      <alignment horizontal="left" wrapText="1" indent="2"/>
    </xf>
    <xf numFmtId="0" fontId="105" fillId="19" borderId="2" xfId="0" applyFont="1" applyFill="1" applyBorder="1" applyAlignment="1">
      <alignment horizontal="left" wrapText="1"/>
    </xf>
    <xf numFmtId="0" fontId="105" fillId="19" borderId="1" xfId="0" applyFont="1" applyFill="1" applyBorder="1" applyAlignment="1">
      <alignment horizontal="left" wrapText="1"/>
    </xf>
    <xf numFmtId="182" fontId="4" fillId="6" borderId="46" xfId="0" applyNumberFormat="1" applyFont="1" applyFill="1" applyBorder="1" applyAlignment="1">
      <alignment horizontal="left" vertical="center"/>
    </xf>
    <xf numFmtId="182" fontId="4" fillId="6" borderId="76" xfId="0" applyNumberFormat="1" applyFont="1" applyFill="1" applyBorder="1" applyAlignment="1">
      <alignment horizontal="left" vertical="center"/>
    </xf>
    <xf numFmtId="182" fontId="4" fillId="6" borderId="56" xfId="0" applyNumberFormat="1" applyFont="1" applyFill="1" applyBorder="1" applyAlignment="1">
      <alignment horizontal="left" vertical="center"/>
    </xf>
    <xf numFmtId="0" fontId="83" fillId="0" borderId="15" xfId="0" applyFont="1" applyBorder="1" applyAlignment="1">
      <alignment horizontal="left" wrapText="1"/>
    </xf>
    <xf numFmtId="0" fontId="83" fillId="0" borderId="3" xfId="0" applyFont="1" applyBorder="1" applyAlignment="1">
      <alignment horizontal="left" wrapText="1"/>
    </xf>
    <xf numFmtId="0" fontId="85" fillId="0" borderId="43" xfId="0" applyFont="1" applyBorder="1" applyAlignment="1">
      <alignment horizontal="center"/>
    </xf>
    <xf numFmtId="0" fontId="85" fillId="0" borderId="60" xfId="0" applyFont="1" applyBorder="1" applyAlignment="1">
      <alignment horizontal="center"/>
    </xf>
    <xf numFmtId="0" fontId="85" fillId="0" borderId="25" xfId="0" applyFont="1" applyBorder="1" applyAlignment="1">
      <alignment horizontal="center"/>
    </xf>
    <xf numFmtId="0" fontId="83" fillId="0" borderId="2" xfId="0" applyFont="1" applyBorder="1" applyAlignment="1">
      <alignment horizontal="left" wrapText="1"/>
    </xf>
    <xf numFmtId="0" fontId="83" fillId="0" borderId="1" xfId="0" applyFont="1" applyBorder="1" applyAlignment="1">
      <alignment horizontal="left" wrapText="1"/>
    </xf>
    <xf numFmtId="0" fontId="86" fillId="10" borderId="43" xfId="0" applyFont="1" applyFill="1" applyBorder="1" applyAlignment="1">
      <alignment horizontal="left" vertical="center" wrapText="1" indent="2"/>
    </xf>
    <xf numFmtId="0" fontId="86" fillId="10" borderId="60" xfId="0" applyFont="1" applyFill="1" applyBorder="1" applyAlignment="1">
      <alignment horizontal="left" vertical="center" wrapText="1" indent="2"/>
    </xf>
    <xf numFmtId="0" fontId="86" fillId="10" borderId="25" xfId="0" applyFont="1" applyFill="1" applyBorder="1" applyAlignment="1">
      <alignment horizontal="left" vertical="center" wrapText="1" indent="2"/>
    </xf>
    <xf numFmtId="0" fontId="86" fillId="3" borderId="2" xfId="0" applyFont="1" applyFill="1" applyBorder="1" applyAlignment="1">
      <alignment horizontal="left" wrapText="1" indent="4"/>
    </xf>
    <xf numFmtId="0" fontId="86" fillId="3" borderId="1" xfId="0" applyFont="1" applyFill="1" applyBorder="1" applyAlignment="1">
      <alignment horizontal="left" wrapText="1" indent="4"/>
    </xf>
    <xf numFmtId="0" fontId="2" fillId="0" borderId="1" xfId="6" applyFont="1" applyFill="1" applyBorder="1" applyAlignment="1" applyProtection="1">
      <alignment horizontal="center" vertical="center" wrapText="1"/>
      <protection locked="0"/>
    </xf>
    <xf numFmtId="0" fontId="105" fillId="3" borderId="8" xfId="0" applyFont="1" applyFill="1" applyBorder="1" applyAlignment="1">
      <alignment horizontal="left" wrapText="1"/>
    </xf>
    <xf numFmtId="0" fontId="105" fillId="3" borderId="6" xfId="0" applyFont="1" applyFill="1" applyBorder="1" applyAlignment="1">
      <alignment horizontal="left" wrapText="1"/>
    </xf>
    <xf numFmtId="0" fontId="83" fillId="0" borderId="16" xfId="0" applyFont="1" applyBorder="1" applyAlignment="1">
      <alignment horizontal="left" wrapText="1"/>
    </xf>
    <xf numFmtId="0" fontId="83" fillId="0" borderId="17" xfId="0" applyFont="1" applyBorder="1" applyAlignment="1">
      <alignment horizontal="left" wrapText="1"/>
    </xf>
    <xf numFmtId="0" fontId="131" fillId="3" borderId="0" xfId="0" applyFont="1" applyFill="1" applyBorder="1" applyAlignment="1">
      <alignment horizontal="center" vertical="center" wrapText="1"/>
    </xf>
    <xf numFmtId="0" fontId="150" fillId="0" borderId="0" xfId="6" applyFont="1" applyFill="1" applyBorder="1" applyAlignment="1">
      <alignment horizontal="center" vertical="center"/>
    </xf>
    <xf numFmtId="0" fontId="83" fillId="6" borderId="16" xfId="0" applyFont="1" applyFill="1" applyBorder="1" applyAlignment="1" applyProtection="1">
      <alignment horizontal="left"/>
      <protection locked="0"/>
    </xf>
    <xf numFmtId="0" fontId="83" fillId="6" borderId="17" xfId="0" applyFont="1" applyFill="1" applyBorder="1" applyAlignment="1" applyProtection="1">
      <alignment horizontal="left"/>
      <protection locked="0"/>
    </xf>
    <xf numFmtId="0" fontId="105" fillId="3" borderId="2" xfId="0" applyFont="1" applyFill="1" applyBorder="1" applyAlignment="1">
      <alignment horizontal="left" wrapText="1"/>
    </xf>
    <xf numFmtId="0" fontId="105" fillId="3" borderId="1" xfId="0" applyFont="1" applyFill="1" applyBorder="1" applyAlignment="1">
      <alignment horizontal="left" wrapText="1"/>
    </xf>
    <xf numFmtId="0" fontId="79" fillId="0" borderId="67" xfId="6" applyFont="1" applyFill="1" applyBorder="1" applyAlignment="1">
      <alignment horizontal="center" vertical="center"/>
    </xf>
    <xf numFmtId="0" fontId="85" fillId="3" borderId="43" xfId="0" applyFont="1" applyFill="1" applyBorder="1" applyAlignment="1">
      <alignment horizontal="left" wrapText="1"/>
    </xf>
    <xf numFmtId="0" fontId="85" fillId="3" borderId="60" xfId="0" applyFont="1" applyFill="1" applyBorder="1" applyAlignment="1">
      <alignment horizontal="left" wrapText="1"/>
    </xf>
    <xf numFmtId="0" fontId="85" fillId="3" borderId="25" xfId="0" applyFont="1" applyFill="1" applyBorder="1" applyAlignment="1">
      <alignment horizontal="left" wrapText="1"/>
    </xf>
    <xf numFmtId="1" fontId="12" fillId="3" borderId="0" xfId="0" applyNumberFormat="1" applyFont="1" applyFill="1" applyBorder="1" applyAlignment="1" applyProtection="1">
      <alignment horizontal="center" vertical="center" wrapText="1"/>
    </xf>
    <xf numFmtId="0" fontId="134" fillId="3" borderId="0" xfId="0" applyFont="1" applyFill="1" applyBorder="1" applyAlignment="1">
      <alignment horizontal="center" vertical="center" wrapText="1"/>
    </xf>
    <xf numFmtId="1" fontId="12" fillId="3" borderId="57" xfId="0" applyNumberFormat="1" applyFont="1" applyFill="1" applyBorder="1" applyAlignment="1" applyProtection="1">
      <alignment horizontal="center" vertical="center" wrapText="1"/>
    </xf>
    <xf numFmtId="1" fontId="12" fillId="3" borderId="58" xfId="0" applyNumberFormat="1" applyFont="1" applyFill="1" applyBorder="1" applyAlignment="1" applyProtection="1">
      <alignment horizontal="center" vertical="center" wrapText="1"/>
    </xf>
    <xf numFmtId="1" fontId="12" fillId="3" borderId="45" xfId="0" applyNumberFormat="1" applyFont="1" applyFill="1" applyBorder="1" applyAlignment="1" applyProtection="1">
      <alignment horizontal="center" vertical="center" wrapText="1"/>
    </xf>
    <xf numFmtId="1" fontId="12" fillId="3" borderId="73" xfId="0" applyNumberFormat="1" applyFont="1" applyFill="1" applyBorder="1" applyAlignment="1" applyProtection="1">
      <alignment horizontal="center" vertical="center" wrapText="1"/>
    </xf>
    <xf numFmtId="1" fontId="12" fillId="3" borderId="46" xfId="0" applyNumberFormat="1" applyFont="1" applyFill="1" applyBorder="1" applyAlignment="1" applyProtection="1">
      <alignment horizontal="center" vertical="center" wrapText="1"/>
    </xf>
    <xf numFmtId="1" fontId="12" fillId="3" borderId="78" xfId="0" applyNumberFormat="1" applyFont="1" applyFill="1" applyBorder="1" applyAlignment="1" applyProtection="1">
      <alignment horizontal="center" vertical="center" wrapText="1"/>
    </xf>
    <xf numFmtId="4" fontId="8" fillId="3" borderId="9" xfId="6" applyNumberFormat="1" applyFont="1" applyFill="1" applyBorder="1" applyAlignment="1" applyProtection="1">
      <alignment horizontal="center" vertical="center"/>
      <protection locked="0"/>
    </xf>
    <xf numFmtId="4" fontId="8" fillId="3" borderId="25" xfId="6" applyNumberFormat="1" applyFont="1" applyFill="1" applyBorder="1" applyAlignment="1" applyProtection="1">
      <alignment horizontal="center" vertical="center"/>
      <protection locked="0"/>
    </xf>
    <xf numFmtId="0" fontId="103" fillId="0" borderId="24" xfId="0" applyFont="1" applyBorder="1" applyAlignment="1">
      <alignment horizontal="center" vertical="center"/>
    </xf>
    <xf numFmtId="0" fontId="103" fillId="0" borderId="56" xfId="0" applyFont="1" applyBorder="1" applyAlignment="1">
      <alignment horizontal="center" vertical="center"/>
    </xf>
    <xf numFmtId="4" fontId="8" fillId="3" borderId="1" xfId="6" applyNumberFormat="1" applyFont="1" applyFill="1" applyBorder="1" applyAlignment="1" applyProtection="1">
      <alignment horizontal="left" vertical="center" wrapText="1"/>
    </xf>
    <xf numFmtId="0" fontId="7" fillId="3" borderId="69" xfId="6" applyFont="1" applyFill="1" applyBorder="1" applyAlignment="1">
      <alignment horizontal="left" wrapText="1"/>
    </xf>
    <xf numFmtId="0" fontId="8" fillId="0" borderId="1" xfId="0" applyFont="1" applyBorder="1" applyAlignment="1">
      <alignment horizontal="center" vertical="center"/>
    </xf>
    <xf numFmtId="4" fontId="8" fillId="3" borderId="1" xfId="6" applyNumberFormat="1" applyFont="1" applyFill="1" applyBorder="1" applyAlignment="1">
      <alignment horizontal="center" vertical="center" wrapText="1"/>
    </xf>
    <xf numFmtId="0" fontId="103" fillId="30" borderId="38" xfId="0" applyFont="1" applyFill="1" applyBorder="1" applyAlignment="1">
      <alignment horizontal="center" vertical="center" wrapText="1"/>
    </xf>
    <xf numFmtId="0" fontId="103" fillId="30" borderId="55" xfId="0" applyFont="1" applyFill="1" applyBorder="1" applyAlignment="1">
      <alignment horizontal="center" vertical="center" wrapText="1"/>
    </xf>
    <xf numFmtId="0" fontId="103" fillId="31" borderId="38" xfId="0" applyFont="1" applyFill="1" applyBorder="1" applyAlignment="1">
      <alignment horizontal="center" vertical="center" wrapText="1"/>
    </xf>
    <xf numFmtId="0" fontId="103" fillId="31" borderId="55" xfId="0" applyFont="1" applyFill="1" applyBorder="1" applyAlignment="1">
      <alignment horizontal="center" vertical="center" wrapText="1"/>
    </xf>
    <xf numFmtId="0" fontId="151" fillId="0" borderId="0" xfId="0" applyFont="1" applyBorder="1" applyAlignment="1">
      <alignment horizontal="left"/>
    </xf>
    <xf numFmtId="0" fontId="103" fillId="0" borderId="3" xfId="0" applyFont="1" applyBorder="1" applyAlignment="1">
      <alignment horizontal="center" vertical="center"/>
    </xf>
    <xf numFmtId="0" fontId="103" fillId="0" borderId="28" xfId="0" applyFont="1" applyBorder="1" applyAlignment="1">
      <alignment horizontal="center" vertical="center"/>
    </xf>
    <xf numFmtId="0" fontId="103" fillId="0" borderId="1" xfId="0" applyFont="1" applyBorder="1" applyAlignment="1">
      <alignment horizontal="center" vertical="center"/>
    </xf>
    <xf numFmtId="0" fontId="103" fillId="0" borderId="9" xfId="0" applyFont="1" applyBorder="1" applyAlignment="1">
      <alignment horizontal="center" vertical="center"/>
    </xf>
    <xf numFmtId="4" fontId="103" fillId="8" borderId="9" xfId="0" applyNumberFormat="1" applyFont="1" applyFill="1" applyBorder="1" applyAlignment="1" applyProtection="1">
      <alignment horizontal="center" vertical="center" wrapText="1"/>
      <protection locked="0"/>
    </xf>
    <xf numFmtId="4" fontId="103" fillId="8" borderId="25" xfId="0" applyNumberFormat="1" applyFont="1" applyFill="1" applyBorder="1" applyAlignment="1" applyProtection="1">
      <alignment horizontal="center" vertical="center" wrapText="1"/>
      <protection locked="0"/>
    </xf>
    <xf numFmtId="0" fontId="103" fillId="0" borderId="15" xfId="0" applyFont="1" applyBorder="1" applyAlignment="1">
      <alignment horizontal="center" vertical="center"/>
    </xf>
    <xf numFmtId="0" fontId="103" fillId="0" borderId="2" xfId="0" applyFont="1" applyBorder="1" applyAlignment="1">
      <alignment horizontal="center" vertical="center"/>
    </xf>
    <xf numFmtId="4" fontId="103" fillId="3" borderId="28" xfId="0" applyNumberFormat="1" applyFont="1" applyFill="1" applyBorder="1" applyAlignment="1" applyProtection="1">
      <alignment horizontal="center" vertical="center" wrapText="1"/>
      <protection locked="0"/>
    </xf>
    <xf numFmtId="4" fontId="103" fillId="3" borderId="52" xfId="0" applyNumberFormat="1" applyFont="1" applyFill="1" applyBorder="1" applyAlignment="1" applyProtection="1">
      <alignment horizontal="center" vertical="center" wrapText="1"/>
      <protection locked="0"/>
    </xf>
    <xf numFmtId="4" fontId="103" fillId="3" borderId="32" xfId="0" applyNumberFormat="1" applyFont="1" applyFill="1" applyBorder="1" applyAlignment="1" applyProtection="1">
      <alignment horizontal="center" vertical="center" wrapText="1"/>
      <protection locked="0"/>
    </xf>
    <xf numFmtId="4" fontId="103" fillId="3" borderId="26" xfId="0" applyNumberFormat="1" applyFont="1" applyFill="1" applyBorder="1" applyAlignment="1" applyProtection="1">
      <alignment horizontal="center" vertical="center" wrapText="1"/>
      <protection locked="0"/>
    </xf>
    <xf numFmtId="0" fontId="103" fillId="3" borderId="15" xfId="0" applyFont="1" applyFill="1" applyBorder="1" applyAlignment="1" applyProtection="1">
      <alignment horizontal="center" vertical="center" wrapText="1"/>
      <protection locked="0"/>
    </xf>
    <xf numFmtId="0" fontId="103" fillId="3" borderId="2" xfId="0" applyFont="1" applyFill="1" applyBorder="1" applyAlignment="1" applyProtection="1">
      <alignment horizontal="center" vertical="center" wrapText="1"/>
      <protection locked="0"/>
    </xf>
    <xf numFmtId="0" fontId="103" fillId="3" borderId="3" xfId="0" applyFont="1" applyFill="1" applyBorder="1" applyAlignment="1" applyProtection="1">
      <alignment horizontal="center" vertical="center" wrapText="1"/>
      <protection locked="0"/>
    </xf>
    <xf numFmtId="0" fontId="103" fillId="3" borderId="1" xfId="0" applyFont="1" applyFill="1" applyBorder="1" applyAlignment="1" applyProtection="1">
      <alignment horizontal="center" vertical="center" wrapText="1"/>
      <protection locked="0"/>
    </xf>
    <xf numFmtId="0" fontId="103" fillId="3" borderId="28" xfId="0" applyFont="1" applyFill="1" applyBorder="1" applyAlignment="1" applyProtection="1">
      <alignment horizontal="center" vertical="center" wrapText="1"/>
      <protection locked="0"/>
    </xf>
    <xf numFmtId="0" fontId="103" fillId="3" borderId="9" xfId="0" applyFont="1" applyFill="1" applyBorder="1" applyAlignment="1" applyProtection="1">
      <alignment horizontal="center" vertical="center" wrapText="1"/>
      <protection locked="0"/>
    </xf>
    <xf numFmtId="0" fontId="103" fillId="3" borderId="3" xfId="0" applyFont="1" applyFill="1" applyBorder="1" applyAlignment="1">
      <alignment horizontal="center" vertical="center" wrapText="1"/>
    </xf>
    <xf numFmtId="0" fontId="103" fillId="3" borderId="1" xfId="0" applyFont="1" applyFill="1" applyBorder="1" applyAlignment="1">
      <alignment horizontal="center" vertical="center" wrapText="1"/>
    </xf>
    <xf numFmtId="0" fontId="103" fillId="0" borderId="54" xfId="0" applyFont="1" applyBorder="1" applyAlignment="1">
      <alignment horizontal="center" vertical="center" wrapText="1"/>
    </xf>
    <xf numFmtId="0" fontId="103" fillId="0" borderId="53" xfId="0" applyFont="1" applyBorder="1" applyAlignment="1">
      <alignment horizontal="center" vertical="center" wrapText="1"/>
    </xf>
    <xf numFmtId="0" fontId="103" fillId="0" borderId="40" xfId="0" applyFont="1" applyBorder="1" applyAlignment="1">
      <alignment horizontal="center" vertical="center" wrapText="1"/>
    </xf>
    <xf numFmtId="0" fontId="103" fillId="0" borderId="41" xfId="0" applyFont="1" applyBorder="1" applyAlignment="1">
      <alignment horizontal="center" vertical="center" wrapText="1"/>
    </xf>
    <xf numFmtId="0" fontId="103" fillId="0" borderId="32" xfId="0" applyFont="1" applyBorder="1" applyAlignment="1">
      <alignment horizontal="center" vertical="center" wrapText="1"/>
    </xf>
    <xf numFmtId="0" fontId="103" fillId="0" borderId="26" xfId="0" applyFont="1" applyBorder="1" applyAlignment="1">
      <alignment horizontal="center" vertical="center" wrapText="1"/>
    </xf>
    <xf numFmtId="0" fontId="103" fillId="3" borderId="1" xfId="0" applyFont="1" applyFill="1" applyBorder="1" applyAlignment="1">
      <alignment horizontal="left" vertical="center" wrapText="1"/>
    </xf>
    <xf numFmtId="0" fontId="103" fillId="3" borderId="9" xfId="0" applyFont="1" applyFill="1" applyBorder="1" applyAlignment="1">
      <alignment horizontal="left" vertical="center" wrapText="1"/>
    </xf>
    <xf numFmtId="0" fontId="102" fillId="3" borderId="6" xfId="0" applyFont="1" applyFill="1" applyBorder="1" applyAlignment="1">
      <alignment horizontal="left" vertical="center" wrapText="1"/>
    </xf>
    <xf numFmtId="0" fontId="102" fillId="3" borderId="24" xfId="0" applyFont="1" applyFill="1" applyBorder="1" applyAlignment="1">
      <alignment horizontal="left" vertical="center" wrapText="1"/>
    </xf>
    <xf numFmtId="4" fontId="103" fillId="17" borderId="9" xfId="0" applyNumberFormat="1" applyFont="1" applyFill="1" applyBorder="1" applyAlignment="1" applyProtection="1">
      <alignment horizontal="center" vertical="center"/>
    </xf>
    <xf numFmtId="4" fontId="103" fillId="17" borderId="25" xfId="0" applyNumberFormat="1" applyFont="1" applyFill="1" applyBorder="1" applyAlignment="1" applyProtection="1">
      <alignment horizontal="center" vertical="center"/>
    </xf>
    <xf numFmtId="182" fontId="103" fillId="0" borderId="3" xfId="0" applyNumberFormat="1" applyFont="1" applyFill="1" applyBorder="1" applyAlignment="1" applyProtection="1">
      <alignment horizontal="center" vertical="center"/>
    </xf>
    <xf numFmtId="0" fontId="103" fillId="0" borderId="9" xfId="0" applyFont="1" applyFill="1" applyBorder="1" applyAlignment="1">
      <alignment horizontal="center" vertical="center" wrapText="1"/>
    </xf>
    <xf numFmtId="0" fontId="103" fillId="0" borderId="60" xfId="0" applyFont="1" applyFill="1" applyBorder="1" applyAlignment="1">
      <alignment horizontal="center" vertical="center" wrapText="1"/>
    </xf>
    <xf numFmtId="0" fontId="103" fillId="0" borderId="77" xfId="0" applyFont="1" applyFill="1" applyBorder="1" applyAlignment="1">
      <alignment horizontal="center" vertical="center" wrapText="1"/>
    </xf>
    <xf numFmtId="4" fontId="103" fillId="3" borderId="9" xfId="0" applyNumberFormat="1" applyFont="1" applyFill="1" applyBorder="1" applyAlignment="1" applyProtection="1">
      <alignment horizontal="center" vertical="center" wrapText="1"/>
    </xf>
    <xf numFmtId="4" fontId="103" fillId="3" borderId="25" xfId="0" applyNumberFormat="1" applyFont="1" applyFill="1" applyBorder="1" applyAlignment="1" applyProtection="1">
      <alignment horizontal="center" vertical="center" wrapText="1"/>
    </xf>
    <xf numFmtId="0" fontId="103" fillId="0" borderId="1" xfId="0" applyFont="1" applyFill="1" applyBorder="1" applyAlignment="1" applyProtection="1">
      <alignment horizontal="left" vertical="center" wrapText="1"/>
    </xf>
    <xf numFmtId="0" fontId="103" fillId="0" borderId="9" xfId="0" applyFont="1" applyFill="1" applyBorder="1" applyAlignment="1">
      <alignment horizontal="left" vertical="center" wrapText="1"/>
    </xf>
    <xf numFmtId="0" fontId="103" fillId="0" borderId="60" xfId="0" applyFont="1" applyFill="1" applyBorder="1" applyAlignment="1">
      <alignment horizontal="left" vertical="center" wrapText="1"/>
    </xf>
    <xf numFmtId="0" fontId="103" fillId="0" borderId="77" xfId="0" applyFont="1" applyFill="1" applyBorder="1" applyAlignment="1">
      <alignment horizontal="left" vertical="center" wrapText="1"/>
    </xf>
    <xf numFmtId="4" fontId="8" fillId="3" borderId="1" xfId="6" applyNumberFormat="1" applyFont="1" applyFill="1" applyBorder="1" applyAlignment="1" applyProtection="1">
      <alignment horizontal="center" vertical="center" wrapText="1"/>
    </xf>
    <xf numFmtId="4" fontId="103" fillId="3" borderId="24" xfId="0" applyNumberFormat="1" applyFont="1" applyFill="1" applyBorder="1" applyAlignment="1" applyProtection="1">
      <alignment horizontal="center" vertical="center" wrapText="1"/>
    </xf>
    <xf numFmtId="4" fontId="103" fillId="3" borderId="56" xfId="0" applyNumberFormat="1" applyFont="1" applyFill="1" applyBorder="1" applyAlignment="1" applyProtection="1">
      <alignment horizontal="center" vertical="center" wrapText="1"/>
    </xf>
    <xf numFmtId="182" fontId="86" fillId="0" borderId="0" xfId="0" applyNumberFormat="1" applyFont="1" applyFill="1" applyBorder="1" applyAlignment="1" applyProtection="1">
      <alignment horizontal="right"/>
    </xf>
    <xf numFmtId="4" fontId="103" fillId="3" borderId="9" xfId="0" applyNumberFormat="1" applyFont="1" applyFill="1" applyBorder="1" applyAlignment="1" applyProtection="1">
      <alignment horizontal="center" vertical="center" wrapText="1"/>
      <protection locked="0"/>
    </xf>
    <xf numFmtId="4" fontId="103" fillId="3" borderId="25" xfId="0" applyNumberFormat="1" applyFont="1" applyFill="1" applyBorder="1" applyAlignment="1" applyProtection="1">
      <alignment horizontal="center" vertical="center" wrapText="1"/>
      <protection locked="0"/>
    </xf>
    <xf numFmtId="4" fontId="103" fillId="6" borderId="72" xfId="0" applyNumberFormat="1" applyFont="1" applyFill="1" applyBorder="1" applyAlignment="1" applyProtection="1">
      <alignment horizontal="center" vertical="center" wrapText="1"/>
    </xf>
    <xf numFmtId="4" fontId="103" fillId="6" borderId="79" xfId="0" applyNumberFormat="1" applyFont="1" applyFill="1" applyBorder="1" applyAlignment="1" applyProtection="1">
      <alignment horizontal="center" vertical="center" wrapText="1"/>
    </xf>
    <xf numFmtId="4" fontId="103" fillId="6" borderId="80" xfId="0" applyNumberFormat="1" applyFont="1" applyFill="1" applyBorder="1" applyAlignment="1" applyProtection="1">
      <alignment horizontal="center" vertical="center" wrapText="1"/>
    </xf>
    <xf numFmtId="4" fontId="103" fillId="6" borderId="45" xfId="0" applyNumberFormat="1" applyFont="1" applyFill="1" applyBorder="1" applyAlignment="1" applyProtection="1">
      <alignment horizontal="center" vertical="center" wrapText="1"/>
    </xf>
    <xf numFmtId="4" fontId="103" fillId="6" borderId="69" xfId="0" applyNumberFormat="1" applyFont="1" applyFill="1" applyBorder="1" applyAlignment="1" applyProtection="1">
      <alignment horizontal="center" vertical="center" wrapText="1"/>
    </xf>
    <xf numFmtId="4" fontId="103" fillId="6" borderId="73" xfId="0" applyNumberFormat="1" applyFont="1" applyFill="1" applyBorder="1" applyAlignment="1" applyProtection="1">
      <alignment horizontal="center" vertical="center" wrapText="1"/>
    </xf>
    <xf numFmtId="4" fontId="103" fillId="6" borderId="43" xfId="0" applyNumberFormat="1" applyFont="1" applyFill="1" applyBorder="1" applyAlignment="1" applyProtection="1">
      <alignment horizontal="center" vertical="center" wrapText="1"/>
    </xf>
    <xf numFmtId="4" fontId="103" fillId="6" borderId="60" xfId="0" applyNumberFormat="1" applyFont="1" applyFill="1" applyBorder="1" applyAlignment="1" applyProtection="1">
      <alignment horizontal="center" vertical="center" wrapText="1"/>
    </xf>
    <xf numFmtId="4" fontId="103" fillId="6" borderId="77" xfId="0" applyNumberFormat="1" applyFont="1" applyFill="1" applyBorder="1" applyAlignment="1" applyProtection="1">
      <alignment horizontal="center" vertical="center" wrapText="1"/>
    </xf>
    <xf numFmtId="0" fontId="103" fillId="0" borderId="9" xfId="0" applyFont="1" applyBorder="1" applyAlignment="1" applyProtection="1">
      <alignment horizontal="center" vertical="center" wrapText="1"/>
    </xf>
    <xf numFmtId="0" fontId="103" fillId="0" borderId="25" xfId="0" applyFont="1" applyBorder="1" applyAlignment="1" applyProtection="1">
      <alignment horizontal="center" vertical="center" wrapText="1"/>
    </xf>
    <xf numFmtId="4" fontId="103" fillId="6" borderId="3" xfId="0" applyNumberFormat="1" applyFont="1" applyFill="1" applyBorder="1" applyAlignment="1" applyProtection="1">
      <alignment horizontal="center" vertical="center" wrapText="1"/>
    </xf>
    <xf numFmtId="4" fontId="103" fillId="6" borderId="6" xfId="0" applyNumberFormat="1" applyFont="1" applyFill="1" applyBorder="1" applyAlignment="1" applyProtection="1">
      <alignment horizontal="center" vertical="center" wrapText="1"/>
    </xf>
    <xf numFmtId="4" fontId="103" fillId="0" borderId="9" xfId="0" applyNumberFormat="1" applyFont="1" applyFill="1" applyBorder="1" applyAlignment="1" applyProtection="1">
      <alignment horizontal="center" vertical="center" wrapText="1"/>
      <protection locked="0"/>
    </xf>
    <xf numFmtId="4" fontId="103" fillId="0" borderId="25" xfId="0" applyNumberFormat="1" applyFont="1" applyFill="1" applyBorder="1" applyAlignment="1" applyProtection="1">
      <alignment horizontal="center" vertical="center" wrapText="1"/>
      <protection locked="0"/>
    </xf>
    <xf numFmtId="182" fontId="103" fillId="3" borderId="1" xfId="0" applyNumberFormat="1" applyFont="1" applyFill="1" applyBorder="1" applyAlignment="1" applyProtection="1">
      <alignment horizontal="center" vertical="center"/>
    </xf>
    <xf numFmtId="182" fontId="103" fillId="6" borderId="3" xfId="0" applyNumberFormat="1" applyFont="1" applyFill="1" applyBorder="1" applyAlignment="1" applyProtection="1">
      <alignment horizontal="center"/>
    </xf>
    <xf numFmtId="4" fontId="103" fillId="6" borderId="2" xfId="0" applyNumberFormat="1" applyFont="1" applyFill="1" applyBorder="1" applyAlignment="1" applyProtection="1">
      <alignment horizontal="center" vertical="center" wrapText="1"/>
    </xf>
    <xf numFmtId="4" fontId="103" fillId="6" borderId="1" xfId="0" applyNumberFormat="1" applyFont="1" applyFill="1" applyBorder="1" applyAlignment="1" applyProtection="1">
      <alignment horizontal="center" vertical="center" wrapText="1"/>
    </xf>
    <xf numFmtId="182" fontId="102" fillId="30" borderId="38" xfId="0" applyNumberFormat="1" applyFont="1" applyFill="1" applyBorder="1" applyAlignment="1" applyProtection="1">
      <alignment horizontal="left" vertical="center" wrapText="1"/>
    </xf>
    <xf numFmtId="182" fontId="102" fillId="30" borderId="37" xfId="0" applyNumberFormat="1" applyFont="1" applyFill="1" applyBorder="1" applyAlignment="1" applyProtection="1">
      <alignment horizontal="left" vertical="center" wrapText="1"/>
    </xf>
    <xf numFmtId="182" fontId="102" fillId="30" borderId="55" xfId="0" applyNumberFormat="1" applyFont="1" applyFill="1" applyBorder="1" applyAlignment="1" applyProtection="1">
      <alignment horizontal="left" vertical="center" wrapText="1"/>
    </xf>
    <xf numFmtId="182" fontId="102" fillId="31" borderId="38" xfId="0" applyNumberFormat="1" applyFont="1" applyFill="1" applyBorder="1" applyAlignment="1" applyProtection="1">
      <alignment horizontal="left" vertical="center" wrapText="1"/>
    </xf>
    <xf numFmtId="182" fontId="102" fillId="31" borderId="37" xfId="0" applyNumberFormat="1" applyFont="1" applyFill="1" applyBorder="1" applyAlignment="1" applyProtection="1">
      <alignment horizontal="left" vertical="center" wrapText="1"/>
    </xf>
    <xf numFmtId="182" fontId="102" fillId="31" borderId="55" xfId="0" applyNumberFormat="1" applyFont="1" applyFill="1" applyBorder="1" applyAlignment="1" applyProtection="1">
      <alignment horizontal="left" vertical="center" wrapText="1"/>
    </xf>
    <xf numFmtId="0" fontId="102" fillId="0" borderId="1" xfId="0" applyFont="1" applyFill="1" applyBorder="1" applyAlignment="1" applyProtection="1">
      <alignment horizontal="left" wrapText="1"/>
    </xf>
    <xf numFmtId="4" fontId="103" fillId="3" borderId="9" xfId="0" applyNumberFormat="1" applyFont="1" applyFill="1" applyBorder="1" applyAlignment="1" applyProtection="1">
      <alignment horizontal="center"/>
      <protection locked="0"/>
    </xf>
    <xf numFmtId="4" fontId="103" fillId="3" borderId="25" xfId="0" applyNumberFormat="1" applyFont="1" applyFill="1" applyBorder="1" applyAlignment="1" applyProtection="1">
      <alignment horizontal="center"/>
      <protection locked="0"/>
    </xf>
    <xf numFmtId="4" fontId="103" fillId="6" borderId="9" xfId="0" applyNumberFormat="1" applyFont="1" applyFill="1" applyBorder="1" applyAlignment="1" applyProtection="1">
      <alignment horizontal="center"/>
    </xf>
    <xf numFmtId="4" fontId="103" fillId="6" borderId="25" xfId="0" applyNumberFormat="1" applyFont="1" applyFill="1" applyBorder="1" applyAlignment="1" applyProtection="1">
      <alignment horizontal="center"/>
    </xf>
    <xf numFmtId="4" fontId="103" fillId="3" borderId="24" xfId="0" applyNumberFormat="1" applyFont="1" applyFill="1" applyBorder="1" applyAlignment="1" applyProtection="1">
      <alignment horizontal="center"/>
      <protection locked="0"/>
    </xf>
    <xf numFmtId="4" fontId="103" fillId="3" borderId="56" xfId="0" applyNumberFormat="1" applyFont="1" applyFill="1" applyBorder="1" applyAlignment="1" applyProtection="1">
      <alignment horizontal="center"/>
      <protection locked="0"/>
    </xf>
    <xf numFmtId="4" fontId="103" fillId="6" borderId="38" xfId="0" applyNumberFormat="1" applyFont="1" applyFill="1" applyBorder="1" applyAlignment="1" applyProtection="1">
      <alignment horizontal="center"/>
    </xf>
    <xf numFmtId="4" fontId="103" fillId="6" borderId="55" xfId="0" applyNumberFormat="1" applyFont="1" applyFill="1" applyBorder="1" applyAlignment="1" applyProtection="1">
      <alignment horizontal="center"/>
    </xf>
    <xf numFmtId="4" fontId="103" fillId="3" borderId="38" xfId="0" applyNumberFormat="1" applyFont="1" applyFill="1" applyBorder="1" applyAlignment="1" applyProtection="1">
      <alignment horizontal="center"/>
      <protection locked="0"/>
    </xf>
    <xf numFmtId="4" fontId="103" fillId="3" borderId="55" xfId="0" applyNumberFormat="1" applyFont="1" applyFill="1" applyBorder="1" applyAlignment="1" applyProtection="1">
      <alignment horizontal="center"/>
      <protection locked="0"/>
    </xf>
    <xf numFmtId="4" fontId="103" fillId="6" borderId="28" xfId="0" applyNumberFormat="1" applyFont="1" applyFill="1" applyBorder="1" applyAlignment="1">
      <alignment horizontal="center"/>
    </xf>
    <xf numFmtId="4" fontId="103" fillId="6" borderId="52" xfId="0" applyNumberFormat="1" applyFont="1" applyFill="1" applyBorder="1" applyAlignment="1">
      <alignment horizontal="center"/>
    </xf>
    <xf numFmtId="4" fontId="103" fillId="6" borderId="9" xfId="0" applyNumberFormat="1" applyFont="1" applyFill="1" applyBorder="1" applyAlignment="1">
      <alignment horizontal="center"/>
    </xf>
    <xf numFmtId="4" fontId="103" fillId="6" borderId="25" xfId="0" applyNumberFormat="1" applyFont="1" applyFill="1" applyBorder="1" applyAlignment="1">
      <alignment horizontal="center"/>
    </xf>
    <xf numFmtId="0" fontId="103" fillId="0" borderId="54" xfId="0" applyFont="1" applyFill="1" applyBorder="1" applyAlignment="1">
      <alignment horizontal="left" vertical="center" wrapText="1"/>
    </xf>
    <xf numFmtId="0" fontId="103" fillId="0" borderId="29" xfId="0" applyFont="1" applyFill="1" applyBorder="1" applyAlignment="1">
      <alignment horizontal="left" vertical="center" wrapText="1"/>
    </xf>
    <xf numFmtId="0" fontId="103" fillId="0" borderId="53" xfId="0" applyFont="1" applyFill="1" applyBorder="1" applyAlignment="1">
      <alignment horizontal="left" vertical="center" wrapText="1"/>
    </xf>
    <xf numFmtId="0" fontId="103" fillId="0" borderId="40" xfId="0" applyFont="1" applyFill="1" applyBorder="1" applyAlignment="1">
      <alignment horizontal="left" vertical="center" wrapText="1"/>
    </xf>
    <xf numFmtId="0" fontId="103" fillId="0" borderId="0" xfId="0" applyFont="1" applyFill="1" applyBorder="1" applyAlignment="1">
      <alignment horizontal="left" vertical="center" wrapText="1"/>
    </xf>
    <xf numFmtId="0" fontId="103" fillId="0" borderId="41" xfId="0" applyFont="1" applyFill="1" applyBorder="1" applyAlignment="1">
      <alignment horizontal="left" vertical="center" wrapText="1"/>
    </xf>
    <xf numFmtId="0" fontId="103" fillId="0" borderId="32" xfId="0" applyFont="1" applyFill="1" applyBorder="1" applyAlignment="1">
      <alignment horizontal="left" vertical="center" wrapText="1"/>
    </xf>
    <xf numFmtId="0" fontId="103" fillId="0" borderId="69" xfId="0" applyFont="1" applyFill="1" applyBorder="1" applyAlignment="1">
      <alignment horizontal="left" vertical="center" wrapText="1"/>
    </xf>
    <xf numFmtId="0" fontId="103" fillId="0" borderId="26" xfId="0" applyFont="1" applyFill="1" applyBorder="1" applyAlignment="1">
      <alignment horizontal="left" vertical="center" wrapText="1"/>
    </xf>
    <xf numFmtId="182" fontId="102" fillId="6" borderId="24" xfId="0" applyNumberFormat="1" applyFont="1" applyFill="1" applyBorder="1" applyAlignment="1" applyProtection="1">
      <alignment horizontal="center"/>
    </xf>
    <xf numFmtId="182" fontId="102" fillId="6" borderId="56" xfId="0" applyNumberFormat="1" applyFont="1" applyFill="1" applyBorder="1" applyAlignment="1" applyProtection="1">
      <alignment horizontal="center"/>
    </xf>
    <xf numFmtId="4" fontId="103" fillId="0" borderId="28" xfId="0" applyNumberFormat="1" applyFont="1" applyFill="1" applyBorder="1" applyAlignment="1" applyProtection="1">
      <alignment horizontal="center"/>
      <protection locked="0"/>
    </xf>
    <xf numFmtId="4" fontId="103" fillId="0" borderId="52" xfId="0" applyNumberFormat="1" applyFont="1" applyFill="1" applyBorder="1" applyAlignment="1" applyProtection="1">
      <alignment horizontal="center"/>
      <protection locked="0"/>
    </xf>
    <xf numFmtId="4" fontId="103" fillId="28" borderId="9" xfId="0" applyNumberFormat="1" applyFont="1" applyFill="1" applyBorder="1" applyAlignment="1" applyProtection="1">
      <alignment horizontal="center"/>
      <protection locked="0"/>
    </xf>
    <xf numFmtId="4" fontId="103" fillId="28" borderId="25" xfId="0" applyNumberFormat="1" applyFont="1" applyFill="1" applyBorder="1" applyAlignment="1" applyProtection="1">
      <alignment horizontal="center"/>
      <protection locked="0"/>
    </xf>
    <xf numFmtId="4" fontId="103" fillId="3" borderId="9" xfId="0" applyNumberFormat="1" applyFont="1" applyFill="1" applyBorder="1" applyAlignment="1" applyProtection="1">
      <alignment horizontal="center" vertical="center"/>
    </xf>
    <xf numFmtId="4" fontId="103" fillId="3" borderId="25" xfId="0" applyNumberFormat="1" applyFont="1" applyFill="1" applyBorder="1" applyAlignment="1" applyProtection="1">
      <alignment horizontal="center" vertical="center"/>
    </xf>
    <xf numFmtId="4" fontId="103" fillId="6" borderId="9" xfId="0" applyNumberFormat="1" applyFont="1" applyFill="1" applyBorder="1" applyAlignment="1" applyProtection="1">
      <alignment horizontal="center" vertical="center"/>
    </xf>
    <xf numFmtId="4" fontId="103" fillId="6" borderId="25" xfId="0" applyNumberFormat="1" applyFont="1" applyFill="1" applyBorder="1" applyAlignment="1" applyProtection="1">
      <alignment horizontal="center" vertical="center"/>
    </xf>
    <xf numFmtId="4" fontId="103" fillId="6" borderId="72" xfId="0" applyNumberFormat="1" applyFont="1" applyFill="1" applyBorder="1" applyAlignment="1">
      <alignment horizontal="center" vertical="center"/>
    </xf>
    <xf numFmtId="4" fontId="103" fillId="6" borderId="79" xfId="0" applyNumberFormat="1" applyFont="1" applyFill="1" applyBorder="1" applyAlignment="1">
      <alignment horizontal="center" vertical="center"/>
    </xf>
    <xf numFmtId="4" fontId="103" fillId="6" borderId="45" xfId="0" applyNumberFormat="1" applyFont="1" applyFill="1" applyBorder="1" applyAlignment="1">
      <alignment horizontal="center" vertical="center"/>
    </xf>
    <xf numFmtId="4" fontId="103" fillId="6" borderId="69" xfId="0" applyNumberFormat="1" applyFont="1" applyFill="1" applyBorder="1" applyAlignment="1">
      <alignment horizontal="center" vertical="center"/>
    </xf>
    <xf numFmtId="4" fontId="103" fillId="3" borderId="5" xfId="0" applyNumberFormat="1" applyFont="1" applyFill="1" applyBorder="1" applyAlignment="1" applyProtection="1">
      <alignment horizontal="center" vertical="center" wrapText="1"/>
    </xf>
    <xf numFmtId="4" fontId="103" fillId="6" borderId="15" xfId="0" applyNumberFormat="1" applyFont="1" applyFill="1" applyBorder="1" applyAlignment="1" applyProtection="1">
      <alignment horizontal="center" vertical="center" wrapText="1"/>
    </xf>
    <xf numFmtId="0" fontId="103" fillId="0" borderId="15" xfId="0" applyFont="1" applyBorder="1" applyAlignment="1" applyProtection="1">
      <alignment horizontal="center" vertical="center"/>
    </xf>
    <xf numFmtId="0" fontId="103" fillId="0" borderId="14" xfId="0" applyFont="1" applyBorder="1" applyAlignment="1" applyProtection="1">
      <alignment horizontal="center" vertical="center"/>
    </xf>
    <xf numFmtId="0" fontId="103" fillId="4" borderId="3" xfId="0" applyFont="1" applyFill="1" applyBorder="1" applyAlignment="1" applyProtection="1">
      <alignment horizontal="left" wrapText="1"/>
    </xf>
    <xf numFmtId="0" fontId="103" fillId="0" borderId="3" xfId="0" applyFont="1" applyBorder="1" applyAlignment="1" applyProtection="1">
      <alignment horizontal="center" vertical="center"/>
    </xf>
    <xf numFmtId="0" fontId="103" fillId="0" borderId="13" xfId="0" applyFont="1" applyBorder="1" applyAlignment="1" applyProtection="1">
      <alignment horizontal="center" vertical="center"/>
    </xf>
    <xf numFmtId="0" fontId="103" fillId="0" borderId="3" xfId="0" applyFont="1" applyBorder="1" applyAlignment="1" applyProtection="1">
      <alignment horizontal="center" vertical="center" wrapText="1"/>
    </xf>
    <xf numFmtId="0" fontId="103" fillId="0" borderId="13" xfId="0" applyFont="1" applyBorder="1" applyAlignment="1" applyProtection="1">
      <alignment horizontal="center" vertical="center" wrapText="1"/>
    </xf>
    <xf numFmtId="4" fontId="8" fillId="3" borderId="2" xfId="0" applyNumberFormat="1" applyFont="1" applyFill="1" applyBorder="1" applyAlignment="1" applyProtection="1">
      <alignment horizontal="center" vertical="center"/>
    </xf>
    <xf numFmtId="4" fontId="8" fillId="3" borderId="1" xfId="0" applyNumberFormat="1" applyFont="1" applyFill="1" applyBorder="1" applyAlignment="1" applyProtection="1">
      <alignment horizontal="center" vertical="center"/>
    </xf>
    <xf numFmtId="4" fontId="8" fillId="3" borderId="5" xfId="0" applyNumberFormat="1" applyFont="1" applyFill="1" applyBorder="1" applyAlignment="1" applyProtection="1">
      <alignment horizontal="center" vertical="center"/>
    </xf>
    <xf numFmtId="4" fontId="103" fillId="3" borderId="52" xfId="0" applyNumberFormat="1" applyFont="1" applyFill="1" applyBorder="1" applyAlignment="1" applyProtection="1">
      <alignment horizontal="center" vertical="center"/>
    </xf>
    <xf numFmtId="4" fontId="103" fillId="3" borderId="3" xfId="0" applyNumberFormat="1" applyFont="1" applyFill="1" applyBorder="1" applyAlignment="1" applyProtection="1">
      <alignment horizontal="center" vertical="center"/>
    </xf>
    <xf numFmtId="4" fontId="103" fillId="3" borderId="4" xfId="0" applyNumberFormat="1" applyFont="1" applyFill="1" applyBorder="1" applyAlignment="1" applyProtection="1">
      <alignment horizontal="center" vertical="center"/>
    </xf>
    <xf numFmtId="4" fontId="8" fillId="3" borderId="66" xfId="6" applyNumberFormat="1" applyFont="1" applyFill="1" applyBorder="1" applyAlignment="1" applyProtection="1">
      <alignment horizontal="center" vertical="center" wrapText="1"/>
    </xf>
    <xf numFmtId="4" fontId="8" fillId="3" borderId="52" xfId="6" applyNumberFormat="1" applyFont="1" applyFill="1" applyBorder="1" applyAlignment="1" applyProtection="1">
      <alignment horizontal="center" vertical="center" wrapText="1"/>
    </xf>
    <xf numFmtId="4" fontId="103" fillId="8" borderId="9" xfId="0" applyNumberFormat="1" applyFont="1" applyFill="1" applyBorder="1" applyAlignment="1" applyProtection="1">
      <alignment horizontal="center"/>
      <protection locked="0"/>
    </xf>
    <xf numFmtId="4" fontId="103" fillId="8" borderId="25" xfId="0" applyNumberFormat="1" applyFont="1" applyFill="1" applyBorder="1" applyAlignment="1" applyProtection="1">
      <alignment horizontal="center"/>
      <protection locked="0"/>
    </xf>
    <xf numFmtId="0" fontId="103" fillId="0" borderId="30" xfId="0" applyFont="1" applyBorder="1" applyAlignment="1">
      <alignment horizontal="center" vertical="center"/>
    </xf>
    <xf numFmtId="0" fontId="103" fillId="0" borderId="39" xfId="0" applyFont="1" applyBorder="1" applyAlignment="1">
      <alignment horizontal="center" vertical="center"/>
    </xf>
    <xf numFmtId="0" fontId="103" fillId="0" borderId="21" xfId="0" applyFont="1" applyBorder="1" applyAlignment="1">
      <alignment horizontal="center" vertical="center"/>
    </xf>
    <xf numFmtId="0" fontId="103" fillId="3" borderId="3" xfId="0" applyFont="1" applyFill="1" applyBorder="1" applyAlignment="1" applyProtection="1">
      <alignment horizontal="center" vertical="center" wrapText="1"/>
    </xf>
    <xf numFmtId="182" fontId="102" fillId="6" borderId="9" xfId="0" applyNumberFormat="1" applyFont="1" applyFill="1" applyBorder="1" applyAlignment="1" applyProtection="1">
      <alignment horizontal="center"/>
    </xf>
    <xf numFmtId="182" fontId="102" fillId="6" borderId="25" xfId="0" applyNumberFormat="1" applyFont="1" applyFill="1" applyBorder="1" applyAlignment="1" applyProtection="1">
      <alignment horizontal="center"/>
    </xf>
    <xf numFmtId="4" fontId="97" fillId="6" borderId="55" xfId="0" applyNumberFormat="1" applyFont="1" applyFill="1" applyBorder="1" applyAlignment="1" applyProtection="1">
      <alignment horizontal="right" vertical="center"/>
    </xf>
    <xf numFmtId="4" fontId="97" fillId="6" borderId="17" xfId="0" applyNumberFormat="1" applyFont="1" applyFill="1" applyBorder="1" applyAlignment="1" applyProtection="1">
      <alignment horizontal="right" vertical="center"/>
    </xf>
    <xf numFmtId="4" fontId="103" fillId="6" borderId="1" xfId="0" applyNumberFormat="1" applyFont="1" applyFill="1" applyBorder="1" applyAlignment="1" applyProtection="1">
      <alignment horizontal="center" vertical="center"/>
    </xf>
    <xf numFmtId="182" fontId="102" fillId="6" borderId="1" xfId="0" applyNumberFormat="1" applyFont="1" applyFill="1" applyBorder="1" applyAlignment="1" applyProtection="1">
      <alignment horizontal="center"/>
    </xf>
    <xf numFmtId="182" fontId="102" fillId="6" borderId="6" xfId="0" applyNumberFormat="1" applyFont="1" applyFill="1" applyBorder="1" applyAlignment="1" applyProtection="1">
      <alignment horizontal="center"/>
    </xf>
    <xf numFmtId="4" fontId="18" fillId="0" borderId="3" xfId="0" applyNumberFormat="1" applyFont="1" applyFill="1" applyBorder="1" applyAlignment="1" applyProtection="1">
      <alignment horizontal="center"/>
      <protection locked="0"/>
    </xf>
    <xf numFmtId="180" fontId="103" fillId="6" borderId="1" xfId="0" applyNumberFormat="1" applyFont="1" applyFill="1" applyBorder="1" applyAlignment="1" applyProtection="1">
      <alignment horizontal="center"/>
    </xf>
    <xf numFmtId="0" fontId="102" fillId="0" borderId="6" xfId="0" applyFont="1" applyFill="1" applyBorder="1" applyAlignment="1" applyProtection="1">
      <alignment horizontal="left" wrapText="1"/>
    </xf>
    <xf numFmtId="0" fontId="97" fillId="0" borderId="20" xfId="0" applyFont="1" applyFill="1" applyBorder="1" applyAlignment="1" applyProtection="1">
      <alignment horizontal="center" wrapText="1"/>
    </xf>
    <xf numFmtId="182" fontId="103" fillId="3" borderId="1" xfId="0" applyNumberFormat="1" applyFont="1" applyFill="1" applyBorder="1" applyAlignment="1" applyProtection="1">
      <alignment horizontal="right" vertical="center"/>
    </xf>
    <xf numFmtId="182" fontId="103" fillId="3" borderId="9" xfId="0" applyNumberFormat="1" applyFont="1" applyFill="1" applyBorder="1" applyAlignment="1" applyProtection="1">
      <alignment horizontal="right" vertical="center"/>
    </xf>
    <xf numFmtId="182" fontId="102" fillId="3" borderId="46" xfId="0" applyNumberFormat="1" applyFont="1" applyFill="1" applyBorder="1" applyAlignment="1" applyProtection="1">
      <alignment horizontal="center" wrapText="1"/>
    </xf>
    <xf numFmtId="182" fontId="102" fillId="3" borderId="76" xfId="0" applyNumberFormat="1" applyFont="1" applyFill="1" applyBorder="1" applyAlignment="1" applyProtection="1">
      <alignment horizontal="center" wrapText="1"/>
    </xf>
    <xf numFmtId="0" fontId="19" fillId="0" borderId="0" xfId="6" applyFont="1" applyFill="1" applyBorder="1" applyAlignment="1">
      <alignment horizontal="left" vertical="center" wrapText="1"/>
    </xf>
    <xf numFmtId="0" fontId="103" fillId="0" borderId="17" xfId="0" applyFont="1" applyBorder="1" applyAlignment="1" applyProtection="1">
      <alignment horizontal="center"/>
    </xf>
    <xf numFmtId="182" fontId="103" fillId="6" borderId="3" xfId="0" applyNumberFormat="1" applyFont="1" applyFill="1" applyBorder="1" applyAlignment="1" applyProtection="1">
      <alignment horizontal="center" vertical="center"/>
    </xf>
    <xf numFmtId="0" fontId="102" fillId="0" borderId="1" xfId="0" applyFont="1" applyFill="1" applyBorder="1" applyAlignment="1">
      <alignment horizontal="left" wrapText="1" indent="4"/>
    </xf>
    <xf numFmtId="3" fontId="97" fillId="0" borderId="8" xfId="0" applyNumberFormat="1" applyFont="1" applyFill="1" applyBorder="1" applyAlignment="1" applyProtection="1">
      <alignment horizontal="right" vertical="center"/>
    </xf>
    <xf numFmtId="3" fontId="97" fillId="0" borderId="6" xfId="0" applyNumberFormat="1" applyFont="1" applyFill="1" applyBorder="1" applyAlignment="1" applyProtection="1">
      <alignment horizontal="right" vertical="center"/>
    </xf>
    <xf numFmtId="3" fontId="97" fillId="0" borderId="24" xfId="0" applyNumberFormat="1" applyFont="1" applyFill="1" applyBorder="1" applyAlignment="1" applyProtection="1">
      <alignment horizontal="right" vertical="center"/>
    </xf>
    <xf numFmtId="4" fontId="103" fillId="3" borderId="43" xfId="0" applyNumberFormat="1" applyFont="1" applyFill="1" applyBorder="1" applyAlignment="1" applyProtection="1">
      <alignment horizontal="center" vertical="center"/>
    </xf>
    <xf numFmtId="4" fontId="103" fillId="3" borderId="60" xfId="0" applyNumberFormat="1" applyFont="1" applyFill="1" applyBorder="1" applyAlignment="1" applyProtection="1">
      <alignment horizontal="center" vertical="center"/>
    </xf>
    <xf numFmtId="0" fontId="103" fillId="3" borderId="28" xfId="0" applyFont="1" applyFill="1" applyBorder="1" applyAlignment="1" applyProtection="1">
      <alignment horizontal="center" vertical="center" wrapText="1"/>
    </xf>
    <xf numFmtId="4" fontId="103" fillId="3" borderId="1" xfId="0" applyNumberFormat="1" applyFont="1" applyFill="1" applyBorder="1" applyAlignment="1" applyProtection="1">
      <alignment horizontal="center" vertical="center"/>
    </xf>
    <xf numFmtId="3" fontId="103" fillId="0" borderId="11" xfId="0" applyNumberFormat="1" applyFont="1" applyFill="1" applyBorder="1" applyAlignment="1" applyProtection="1">
      <alignment horizontal="right" vertical="center"/>
    </xf>
    <xf numFmtId="3" fontId="103" fillId="0" borderId="32" xfId="0" applyNumberFormat="1" applyFont="1" applyFill="1" applyBorder="1" applyAlignment="1" applyProtection="1">
      <alignment horizontal="right" vertical="center"/>
    </xf>
    <xf numFmtId="0" fontId="103" fillId="0" borderId="10" xfId="0" applyFont="1" applyFill="1" applyBorder="1" applyAlignment="1">
      <alignment horizontal="center" vertical="center"/>
    </xf>
    <xf numFmtId="0" fontId="103" fillId="0" borderId="42" xfId="0" applyFont="1" applyFill="1" applyBorder="1" applyAlignment="1">
      <alignment horizontal="center" vertical="center"/>
    </xf>
    <xf numFmtId="0" fontId="103" fillId="0" borderId="12"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9" xfId="0" applyFont="1" applyBorder="1" applyAlignment="1">
      <alignment horizontal="center" vertical="center" wrapText="1"/>
    </xf>
    <xf numFmtId="4" fontId="103" fillId="3" borderId="1" xfId="0" applyNumberFormat="1" applyFont="1" applyFill="1" applyBorder="1" applyAlignment="1" applyProtection="1">
      <alignment horizontal="center" vertical="center" wrapText="1"/>
    </xf>
    <xf numFmtId="4" fontId="103" fillId="0" borderId="1" xfId="0" applyNumberFormat="1" applyFont="1" applyFill="1" applyBorder="1" applyAlignment="1" applyProtection="1">
      <alignment horizontal="center"/>
      <protection locked="0"/>
    </xf>
    <xf numFmtId="4" fontId="103" fillId="3" borderId="1" xfId="0" applyNumberFormat="1" applyFont="1" applyFill="1" applyBorder="1" applyAlignment="1" applyProtection="1">
      <alignment horizontal="center"/>
      <protection locked="0"/>
    </xf>
    <xf numFmtId="4" fontId="103" fillId="0" borderId="68" xfId="0" applyNumberFormat="1" applyFont="1" applyFill="1" applyBorder="1" applyAlignment="1" applyProtection="1">
      <alignment horizontal="center"/>
      <protection locked="0"/>
    </xf>
    <xf numFmtId="4" fontId="103" fillId="6" borderId="1" xfId="0" applyNumberFormat="1" applyFont="1" applyFill="1" applyBorder="1" applyAlignment="1" applyProtection="1">
      <alignment horizontal="center"/>
    </xf>
    <xf numFmtId="4" fontId="103" fillId="6" borderId="5" xfId="0" applyNumberFormat="1" applyFont="1" applyFill="1" applyBorder="1" applyAlignment="1" applyProtection="1">
      <alignment horizontal="center"/>
    </xf>
    <xf numFmtId="191" fontId="102" fillId="6" borderId="6" xfId="0" applyNumberFormat="1" applyFont="1" applyFill="1" applyBorder="1" applyAlignment="1" applyProtection="1">
      <alignment horizontal="center"/>
    </xf>
    <xf numFmtId="191" fontId="102" fillId="6" borderId="7" xfId="0" applyNumberFormat="1" applyFont="1" applyFill="1" applyBorder="1" applyAlignment="1" applyProtection="1">
      <alignment horizontal="center"/>
    </xf>
    <xf numFmtId="4" fontId="103" fillId="3" borderId="5" xfId="0" applyNumberFormat="1" applyFont="1" applyFill="1" applyBorder="1" applyAlignment="1" applyProtection="1">
      <alignment horizontal="center" vertical="center"/>
    </xf>
    <xf numFmtId="4" fontId="103" fillId="6" borderId="3" xfId="0" applyNumberFormat="1" applyFont="1" applyFill="1" applyBorder="1" applyAlignment="1">
      <alignment horizontal="center" vertical="center"/>
    </xf>
    <xf numFmtId="4" fontId="103" fillId="6" borderId="1" xfId="0" applyNumberFormat="1" applyFont="1" applyFill="1" applyBorder="1" applyAlignment="1">
      <alignment horizontal="center" vertical="center"/>
    </xf>
    <xf numFmtId="0" fontId="103" fillId="3" borderId="4" xfId="0" applyFont="1" applyFill="1" applyBorder="1" applyAlignment="1" applyProtection="1">
      <alignment horizontal="center" vertical="center" wrapText="1"/>
      <protection locked="0"/>
    </xf>
    <xf numFmtId="0" fontId="103" fillId="3" borderId="5" xfId="0" applyFont="1" applyFill="1" applyBorder="1" applyAlignment="1" applyProtection="1">
      <alignment horizontal="center" vertical="center" wrapText="1"/>
      <protection locked="0"/>
    </xf>
    <xf numFmtId="0" fontId="103" fillId="3" borderId="28" xfId="0" applyFont="1" applyFill="1" applyBorder="1" applyAlignment="1">
      <alignment horizontal="center" vertical="center" wrapText="1"/>
    </xf>
    <xf numFmtId="0" fontId="103" fillId="3" borderId="9" xfId="0" applyFont="1" applyFill="1" applyBorder="1" applyAlignment="1">
      <alignment horizontal="center" vertical="center" wrapText="1"/>
    </xf>
    <xf numFmtId="180" fontId="103" fillId="6" borderId="25" xfId="0" applyNumberFormat="1" applyFont="1" applyFill="1" applyBorder="1" applyAlignment="1" applyProtection="1">
      <alignment horizontal="center" vertical="center" wrapText="1"/>
    </xf>
    <xf numFmtId="180" fontId="103" fillId="6" borderId="1" xfId="0" applyNumberFormat="1" applyFont="1" applyFill="1" applyBorder="1" applyAlignment="1" applyProtection="1">
      <alignment horizontal="center" vertical="center"/>
    </xf>
    <xf numFmtId="180" fontId="103" fillId="6" borderId="56" xfId="0" applyNumberFormat="1" applyFont="1" applyFill="1" applyBorder="1" applyAlignment="1" applyProtection="1">
      <alignment horizontal="center" vertical="center"/>
    </xf>
    <xf numFmtId="180" fontId="103" fillId="6" borderId="6" xfId="0" applyNumberFormat="1" applyFont="1" applyFill="1" applyBorder="1" applyAlignment="1" applyProtection="1">
      <alignment horizontal="center" vertical="center"/>
    </xf>
    <xf numFmtId="4" fontId="103" fillId="6" borderId="8" xfId="0" applyNumberFormat="1" applyFont="1" applyFill="1" applyBorder="1" applyAlignment="1" applyProtection="1">
      <alignment horizontal="center" vertical="center" wrapText="1"/>
    </xf>
    <xf numFmtId="4" fontId="103" fillId="6" borderId="2" xfId="0" applyNumberFormat="1" applyFont="1" applyFill="1" applyBorder="1" applyAlignment="1" applyProtection="1">
      <alignment horizontal="center"/>
    </xf>
    <xf numFmtId="0" fontId="18" fillId="0" borderId="1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9" xfId="0" applyFont="1" applyBorder="1" applyAlignment="1">
      <alignment horizontal="center" vertical="center" wrapText="1"/>
    </xf>
    <xf numFmtId="0" fontId="103" fillId="3" borderId="52" xfId="0" applyFont="1" applyFill="1" applyBorder="1" applyAlignment="1" applyProtection="1">
      <alignment horizontal="center" vertical="center" wrapText="1"/>
      <protection locked="0"/>
    </xf>
    <xf numFmtId="0" fontId="103" fillId="3" borderId="25" xfId="0" applyFont="1" applyFill="1" applyBorder="1" applyAlignment="1" applyProtection="1">
      <alignment horizontal="center" vertical="center" wrapText="1"/>
      <protection locked="0"/>
    </xf>
    <xf numFmtId="0" fontId="103" fillId="0" borderId="27" xfId="0" applyFont="1" applyBorder="1" applyAlignment="1">
      <alignment horizontal="center" vertical="center"/>
    </xf>
    <xf numFmtId="0" fontId="103" fillId="0" borderId="13" xfId="0" applyFont="1" applyBorder="1" applyAlignment="1">
      <alignment horizontal="center" vertical="center"/>
    </xf>
    <xf numFmtId="182" fontId="102" fillId="6" borderId="8" xfId="0" applyNumberFormat="1" applyFont="1" applyFill="1" applyBorder="1" applyAlignment="1" applyProtection="1">
      <alignment horizontal="center"/>
    </xf>
    <xf numFmtId="0" fontId="103" fillId="0" borderId="3" xfId="0" applyFont="1" applyBorder="1" applyAlignment="1">
      <alignment horizontal="center" vertical="center" wrapText="1"/>
    </xf>
    <xf numFmtId="0" fontId="103" fillId="0" borderId="4" xfId="0" applyFont="1" applyBorder="1" applyAlignment="1">
      <alignment horizontal="center" vertical="center" wrapText="1"/>
    </xf>
    <xf numFmtId="0" fontId="103" fillId="0" borderId="2" xfId="0" applyFont="1" applyBorder="1" applyAlignment="1">
      <alignment horizontal="center" vertical="center" wrapText="1"/>
    </xf>
    <xf numFmtId="0" fontId="103" fillId="0" borderId="1" xfId="0" applyFont="1" applyBorder="1" applyAlignment="1">
      <alignment horizontal="center" vertical="center" wrapText="1"/>
    </xf>
    <xf numFmtId="0" fontId="103" fillId="0" borderId="5" xfId="0" applyFont="1" applyBorder="1" applyAlignment="1">
      <alignment horizontal="center" vertical="center" wrapText="1"/>
    </xf>
    <xf numFmtId="0" fontId="103" fillId="0" borderId="14" xfId="0" applyFont="1" applyBorder="1" applyAlignment="1">
      <alignment horizontal="center" vertical="center" wrapText="1"/>
    </xf>
    <xf numFmtId="0" fontId="103" fillId="0" borderId="13" xfId="0" applyFont="1" applyBorder="1" applyAlignment="1">
      <alignment horizontal="center" vertical="center" wrapText="1"/>
    </xf>
    <xf numFmtId="0" fontId="103" fillId="0" borderId="19" xfId="0" applyFont="1" applyBorder="1" applyAlignment="1">
      <alignment horizontal="center" vertical="center" wrapText="1"/>
    </xf>
    <xf numFmtId="0" fontId="103" fillId="3" borderId="17" xfId="0" applyFont="1" applyFill="1" applyBorder="1" applyAlignment="1" applyProtection="1">
      <alignment horizontal="center" vertical="center" wrapText="1"/>
    </xf>
    <xf numFmtId="0" fontId="103" fillId="3" borderId="18" xfId="0" applyFont="1" applyFill="1" applyBorder="1" applyAlignment="1" applyProtection="1">
      <alignment horizontal="center" vertical="center" wrapText="1"/>
    </xf>
    <xf numFmtId="0" fontId="103" fillId="0" borderId="15" xfId="0" applyFont="1" applyBorder="1" applyAlignment="1">
      <alignment horizontal="center" vertical="center" wrapText="1"/>
    </xf>
    <xf numFmtId="0" fontId="103" fillId="0" borderId="20" xfId="0" applyFont="1" applyBorder="1" applyAlignment="1">
      <alignment horizontal="center" vertical="center"/>
    </xf>
    <xf numFmtId="0" fontId="103" fillId="0" borderId="34" xfId="0" applyFont="1" applyBorder="1" applyAlignment="1">
      <alignment horizontal="center" vertical="center"/>
    </xf>
    <xf numFmtId="0" fontId="103" fillId="0" borderId="11" xfId="0" applyFont="1" applyFill="1" applyBorder="1" applyAlignment="1">
      <alignment horizontal="left" vertical="center" wrapText="1"/>
    </xf>
    <xf numFmtId="4" fontId="103" fillId="0" borderId="5" xfId="0" applyNumberFormat="1" applyFont="1" applyFill="1" applyBorder="1" applyAlignment="1" applyProtection="1">
      <alignment horizontal="center"/>
      <protection locked="0"/>
    </xf>
    <xf numFmtId="0" fontId="102" fillId="0" borderId="6" xfId="0" applyFont="1" applyFill="1" applyBorder="1" applyAlignment="1">
      <alignment horizontal="left" wrapText="1" indent="4"/>
    </xf>
    <xf numFmtId="4" fontId="103" fillId="6" borderId="1" xfId="0" applyNumberFormat="1" applyFont="1" applyFill="1" applyBorder="1" applyAlignment="1">
      <alignment horizontal="center"/>
    </xf>
    <xf numFmtId="4" fontId="18" fillId="2" borderId="1" xfId="0" applyNumberFormat="1" applyFont="1" applyFill="1" applyBorder="1" applyAlignment="1" applyProtection="1">
      <alignment horizontal="center"/>
      <protection locked="0"/>
    </xf>
    <xf numFmtId="4" fontId="103" fillId="6" borderId="2" xfId="0" applyNumberFormat="1" applyFont="1" applyFill="1" applyBorder="1" applyAlignment="1">
      <alignment horizontal="center"/>
    </xf>
    <xf numFmtId="4" fontId="103" fillId="0" borderId="6" xfId="0" applyNumberFormat="1" applyFont="1" applyFill="1" applyBorder="1" applyAlignment="1" applyProtection="1">
      <alignment horizontal="center"/>
      <protection locked="0"/>
    </xf>
    <xf numFmtId="4" fontId="103" fillId="6" borderId="8" xfId="0" applyNumberFormat="1" applyFont="1" applyFill="1" applyBorder="1" applyAlignment="1">
      <alignment horizontal="center"/>
    </xf>
    <xf numFmtId="4" fontId="103" fillId="6" borderId="6" xfId="0" applyNumberFormat="1" applyFont="1" applyFill="1" applyBorder="1" applyAlignment="1">
      <alignment horizontal="center"/>
    </xf>
    <xf numFmtId="4" fontId="103" fillId="6" borderId="3" xfId="0" applyNumberFormat="1" applyFont="1" applyFill="1" applyBorder="1" applyAlignment="1">
      <alignment horizontal="center"/>
    </xf>
    <xf numFmtId="4" fontId="103" fillId="6" borderId="4" xfId="0" applyNumberFormat="1" applyFont="1" applyFill="1" applyBorder="1" applyAlignment="1">
      <alignment horizontal="center"/>
    </xf>
    <xf numFmtId="4" fontId="18" fillId="0" borderId="1" xfId="0" applyNumberFormat="1" applyFont="1" applyFill="1" applyBorder="1" applyAlignment="1" applyProtection="1">
      <alignment horizontal="center"/>
      <protection locked="0"/>
    </xf>
    <xf numFmtId="4" fontId="18" fillId="0" borderId="5" xfId="0" applyNumberFormat="1" applyFont="1" applyFill="1" applyBorder="1" applyAlignment="1" applyProtection="1">
      <alignment horizontal="center"/>
      <protection locked="0"/>
    </xf>
    <xf numFmtId="0" fontId="80" fillId="0" borderId="0" xfId="0" applyFont="1" applyFill="1" applyBorder="1" applyAlignment="1" applyProtection="1">
      <alignment horizontal="center" wrapText="1"/>
      <protection locked="0"/>
    </xf>
    <xf numFmtId="0" fontId="80" fillId="0" borderId="0" xfId="0" applyFont="1" applyFill="1" applyBorder="1" applyAlignment="1" applyProtection="1">
      <alignment horizontal="center" vertical="center" wrapText="1"/>
      <protection locked="0"/>
    </xf>
    <xf numFmtId="0" fontId="103" fillId="0" borderId="1" xfId="0" applyFont="1" applyFill="1" applyBorder="1" applyAlignment="1" applyProtection="1">
      <alignment horizontal="center" vertical="center" wrapText="1"/>
    </xf>
    <xf numFmtId="0" fontId="103" fillId="0" borderId="2" xfId="0" applyFont="1" applyFill="1" applyBorder="1" applyAlignment="1" applyProtection="1">
      <alignment horizontal="center" vertical="center" wrapText="1"/>
    </xf>
    <xf numFmtId="4" fontId="103" fillId="6" borderId="5" xfId="0" applyNumberFormat="1" applyFont="1" applyFill="1" applyBorder="1" applyAlignment="1">
      <alignment horizontal="center"/>
    </xf>
    <xf numFmtId="4" fontId="103" fillId="0" borderId="7" xfId="0" applyNumberFormat="1" applyFont="1" applyFill="1" applyBorder="1" applyAlignment="1" applyProtection="1">
      <alignment horizontal="center"/>
      <protection locked="0"/>
    </xf>
    <xf numFmtId="0" fontId="103" fillId="0" borderId="5" xfId="0" applyFont="1" applyFill="1" applyBorder="1" applyAlignment="1" applyProtection="1">
      <alignment horizontal="center" vertical="center" wrapText="1"/>
    </xf>
    <xf numFmtId="0" fontId="103" fillId="0" borderId="6" xfId="0" applyFont="1" applyFill="1" applyBorder="1" applyAlignment="1" applyProtection="1">
      <alignment horizontal="center" vertical="center" wrapText="1"/>
    </xf>
    <xf numFmtId="0" fontId="103" fillId="0" borderId="7" xfId="0" applyFont="1" applyFill="1" applyBorder="1" applyAlignment="1" applyProtection="1">
      <alignment horizontal="center" vertical="center" wrapText="1"/>
    </xf>
    <xf numFmtId="0" fontId="103" fillId="0" borderId="3" xfId="0" applyFont="1" applyFill="1" applyBorder="1" applyAlignment="1" applyProtection="1">
      <alignment horizontal="center" vertical="center" wrapText="1"/>
    </xf>
    <xf numFmtId="0" fontId="103" fillId="0" borderId="15" xfId="0" applyFont="1" applyFill="1" applyBorder="1" applyAlignment="1" applyProtection="1">
      <alignment horizontal="center" vertical="center" wrapText="1"/>
    </xf>
    <xf numFmtId="0" fontId="103" fillId="0" borderId="9" xfId="0" applyFont="1" applyFill="1" applyBorder="1" applyAlignment="1" applyProtection="1">
      <alignment horizontal="center" vertical="center" wrapText="1"/>
    </xf>
    <xf numFmtId="0" fontId="103" fillId="0" borderId="59" xfId="0" applyFont="1" applyBorder="1" applyAlignment="1">
      <alignment horizontal="center" vertical="center" wrapText="1"/>
    </xf>
    <xf numFmtId="0" fontId="103" fillId="0" borderId="80" xfId="0" applyFont="1" applyBorder="1" applyAlignment="1">
      <alignment horizontal="center" vertical="center" wrapText="1"/>
    </xf>
    <xf numFmtId="0" fontId="8" fillId="0" borderId="27" xfId="6" applyFont="1" applyFill="1" applyBorder="1" applyAlignment="1" applyProtection="1">
      <alignment horizontal="center" vertical="center"/>
      <protection locked="0"/>
    </xf>
    <xf numFmtId="0" fontId="8" fillId="0" borderId="13" xfId="6" applyFont="1" applyFill="1" applyBorder="1" applyAlignment="1" applyProtection="1">
      <alignment horizontal="center" vertical="center"/>
      <protection locked="0"/>
    </xf>
    <xf numFmtId="0" fontId="8" fillId="0" borderId="59" xfId="6" applyFont="1" applyFill="1" applyBorder="1" applyAlignment="1" applyProtection="1">
      <alignment horizontal="center" vertical="center"/>
      <protection locked="0"/>
    </xf>
    <xf numFmtId="0" fontId="103" fillId="0" borderId="27" xfId="0" applyFont="1" applyBorder="1" applyAlignment="1">
      <alignment horizontal="center" vertical="center" wrapText="1"/>
    </xf>
    <xf numFmtId="0" fontId="103" fillId="0" borderId="31" xfId="0" applyFont="1" applyBorder="1" applyAlignment="1">
      <alignment horizontal="center"/>
    </xf>
    <xf numFmtId="0" fontId="103" fillId="3" borderId="52" xfId="0" applyFont="1" applyFill="1" applyBorder="1" applyAlignment="1">
      <alignment horizontal="center" vertical="center" wrapText="1"/>
    </xf>
    <xf numFmtId="0" fontId="103" fillId="3" borderId="4" xfId="0" applyFont="1" applyFill="1" applyBorder="1" applyAlignment="1">
      <alignment horizontal="center" vertical="center" wrapText="1"/>
    </xf>
    <xf numFmtId="0" fontId="103" fillId="0" borderId="10" xfId="0" applyFont="1" applyBorder="1" applyAlignment="1">
      <alignment horizontal="center"/>
    </xf>
    <xf numFmtId="4" fontId="103" fillId="6" borderId="15" xfId="0" applyNumberFormat="1" applyFont="1" applyFill="1" applyBorder="1" applyAlignment="1">
      <alignment horizontal="center"/>
    </xf>
    <xf numFmtId="4" fontId="103" fillId="6" borderId="15" xfId="0" applyNumberFormat="1" applyFont="1" applyFill="1" applyBorder="1" applyAlignment="1" applyProtection="1">
      <alignment horizontal="center"/>
    </xf>
    <xf numFmtId="4" fontId="103" fillId="6" borderId="3" xfId="0" applyNumberFormat="1" applyFont="1" applyFill="1" applyBorder="1" applyAlignment="1" applyProtection="1">
      <alignment horizontal="center"/>
    </xf>
    <xf numFmtId="4" fontId="18" fillId="0" borderId="6" xfId="0" applyNumberFormat="1" applyFont="1" applyFill="1" applyBorder="1" applyAlignment="1" applyProtection="1">
      <alignment horizontal="center"/>
      <protection locked="0"/>
    </xf>
    <xf numFmtId="0" fontId="103" fillId="0" borderId="8" xfId="0" applyFont="1" applyBorder="1" applyAlignment="1">
      <alignment horizontal="center" vertical="center"/>
    </xf>
    <xf numFmtId="0" fontId="103" fillId="0" borderId="30" xfId="0" applyFont="1" applyBorder="1" applyAlignment="1">
      <alignment horizontal="center"/>
    </xf>
    <xf numFmtId="0" fontId="103" fillId="0" borderId="7" xfId="0" applyFont="1" applyBorder="1" applyAlignment="1">
      <alignment horizontal="center" vertical="center" wrapText="1"/>
    </xf>
    <xf numFmtId="0" fontId="103" fillId="0" borderId="6" xfId="0" applyFont="1" applyBorder="1" applyAlignment="1">
      <alignment horizontal="center" vertical="center"/>
    </xf>
    <xf numFmtId="0" fontId="103" fillId="0" borderId="24" xfId="0" applyFont="1" applyBorder="1" applyAlignment="1">
      <alignment horizontal="center" vertical="center" wrapText="1"/>
    </xf>
    <xf numFmtId="0" fontId="103" fillId="0" borderId="56" xfId="0" applyFont="1" applyBorder="1" applyAlignment="1">
      <alignment horizontal="center" vertical="center" wrapText="1"/>
    </xf>
    <xf numFmtId="0" fontId="103" fillId="3" borderId="72" xfId="0" applyFont="1" applyFill="1" applyBorder="1" applyAlignment="1">
      <alignment horizontal="center" vertical="center" wrapText="1"/>
    </xf>
    <xf numFmtId="0" fontId="103" fillId="3" borderId="27" xfId="0" applyFont="1" applyFill="1" applyBorder="1" applyAlignment="1">
      <alignment horizontal="center" vertical="center" wrapText="1"/>
    </xf>
    <xf numFmtId="0" fontId="103" fillId="0" borderId="38" xfId="0" applyFont="1" applyBorder="1" applyAlignment="1">
      <alignment horizontal="center"/>
    </xf>
    <xf numFmtId="0" fontId="103" fillId="0" borderId="55" xfId="0" applyFont="1" applyBorder="1" applyAlignment="1">
      <alignment horizontal="center"/>
    </xf>
    <xf numFmtId="0" fontId="81" fillId="0" borderId="0" xfId="0" applyFont="1" applyFill="1" applyBorder="1" applyAlignment="1">
      <alignment horizontal="center" vertical="center" wrapText="1"/>
    </xf>
    <xf numFmtId="0" fontId="5" fillId="0" borderId="0" xfId="6" applyFont="1" applyFill="1" applyBorder="1" applyAlignment="1">
      <alignment horizontal="center" vertical="center"/>
    </xf>
    <xf numFmtId="0" fontId="103" fillId="4" borderId="3" xfId="0" applyFont="1" applyFill="1" applyBorder="1" applyAlignment="1">
      <alignment horizontal="left" wrapText="1"/>
    </xf>
    <xf numFmtId="0" fontId="102" fillId="0" borderId="1" xfId="0" applyFont="1" applyFill="1" applyBorder="1" applyAlignment="1">
      <alignment horizontal="left" wrapText="1"/>
    </xf>
    <xf numFmtId="0" fontId="102" fillId="0" borderId="1" xfId="0" applyFont="1" applyFill="1" applyBorder="1" applyAlignment="1">
      <alignment horizontal="left" wrapText="1" indent="2"/>
    </xf>
    <xf numFmtId="0" fontId="103" fillId="3" borderId="66" xfId="0" applyFont="1" applyFill="1" applyBorder="1" applyAlignment="1">
      <alignment horizontal="center" vertical="center" wrapText="1"/>
    </xf>
    <xf numFmtId="0" fontId="103" fillId="3" borderId="67" xfId="0" applyFont="1" applyFill="1" applyBorder="1" applyAlignment="1">
      <alignment horizontal="center" vertical="center" wrapText="1"/>
    </xf>
    <xf numFmtId="0" fontId="103" fillId="3" borderId="68" xfId="0" applyFont="1" applyFill="1" applyBorder="1" applyAlignment="1">
      <alignment horizontal="center" vertical="center" wrapText="1"/>
    </xf>
    <xf numFmtId="0" fontId="8" fillId="3" borderId="1" xfId="6" applyFont="1" applyFill="1" applyBorder="1" applyAlignment="1">
      <alignment horizontal="left" vertical="center" wrapText="1"/>
    </xf>
    <xf numFmtId="4" fontId="121" fillId="3" borderId="1" xfId="6" applyNumberFormat="1" applyFont="1" applyFill="1" applyBorder="1" applyAlignment="1">
      <alignment horizontal="left" vertical="center" wrapText="1"/>
    </xf>
    <xf numFmtId="0" fontId="121" fillId="3" borderId="1" xfId="6" applyFont="1" applyFill="1" applyBorder="1" applyAlignment="1">
      <alignment horizontal="left" vertical="center" wrapText="1"/>
    </xf>
    <xf numFmtId="0" fontId="103" fillId="0" borderId="1" xfId="0" applyFont="1" applyBorder="1" applyAlignment="1" applyProtection="1">
      <alignment horizontal="center" vertical="center"/>
    </xf>
    <xf numFmtId="0" fontId="19" fillId="0" borderId="70" xfId="6" applyFont="1" applyFill="1" applyBorder="1" applyAlignment="1" applyProtection="1">
      <alignment horizontal="left" vertical="center" wrapText="1"/>
      <protection locked="0"/>
    </xf>
    <xf numFmtId="4" fontId="103" fillId="28" borderId="24" xfId="0" applyNumberFormat="1" applyFont="1" applyFill="1" applyBorder="1" applyAlignment="1" applyProtection="1">
      <alignment horizontal="center" vertical="center" wrapText="1"/>
      <protection locked="0"/>
    </xf>
    <xf numFmtId="4" fontId="103" fillId="28" borderId="56" xfId="0" applyNumberFormat="1" applyFont="1" applyFill="1" applyBorder="1" applyAlignment="1" applyProtection="1">
      <alignment horizontal="center" vertical="center" wrapText="1"/>
      <protection locked="0"/>
    </xf>
    <xf numFmtId="0" fontId="103" fillId="0" borderId="17" xfId="0" applyFont="1" applyFill="1" applyBorder="1" applyAlignment="1">
      <alignment horizontal="left" vertical="center" wrapText="1"/>
    </xf>
    <xf numFmtId="0" fontId="103" fillId="26" borderId="3" xfId="0" applyFont="1" applyFill="1" applyBorder="1" applyAlignment="1" applyProtection="1">
      <alignment horizontal="center" vertical="center" wrapText="1"/>
    </xf>
    <xf numFmtId="0" fontId="103" fillId="26" borderId="1" xfId="0" applyFont="1" applyFill="1" applyBorder="1" applyAlignment="1" applyProtection="1">
      <alignment horizontal="center" vertical="center" wrapText="1"/>
    </xf>
    <xf numFmtId="0" fontId="5" fillId="0" borderId="79" xfId="6" applyFont="1" applyFill="1" applyBorder="1" applyAlignment="1" applyProtection="1">
      <alignment horizontal="left" vertical="center" wrapText="1"/>
      <protection locked="0"/>
    </xf>
    <xf numFmtId="0" fontId="103" fillId="0" borderId="2" xfId="0" applyFont="1" applyBorder="1" applyAlignment="1" applyProtection="1">
      <alignment horizontal="center" vertical="center"/>
    </xf>
    <xf numFmtId="0" fontId="103" fillId="0" borderId="8" xfId="0" applyFont="1" applyBorder="1" applyAlignment="1" applyProtection="1">
      <alignment horizontal="center" vertical="center"/>
    </xf>
    <xf numFmtId="0" fontId="102" fillId="10" borderId="1" xfId="0" applyFont="1" applyFill="1" applyBorder="1" applyAlignment="1" applyProtection="1">
      <alignment horizontal="left" vertical="center" wrapText="1"/>
    </xf>
    <xf numFmtId="0" fontId="102" fillId="10" borderId="6" xfId="0" applyFont="1" applyFill="1" applyBorder="1" applyAlignment="1" applyProtection="1">
      <alignment horizontal="left" vertical="center" wrapText="1"/>
    </xf>
    <xf numFmtId="0" fontId="103" fillId="3" borderId="1" xfId="0" applyFont="1" applyFill="1" applyBorder="1" applyAlignment="1" applyProtection="1">
      <alignment vertical="center" wrapText="1"/>
    </xf>
    <xf numFmtId="0" fontId="79" fillId="0" borderId="40" xfId="0" applyFont="1" applyBorder="1" applyAlignment="1">
      <alignment horizontal="center" wrapText="1"/>
    </xf>
    <xf numFmtId="0" fontId="79" fillId="0" borderId="0" xfId="0" applyFont="1" applyBorder="1" applyAlignment="1">
      <alignment horizontal="center" wrapText="1"/>
    </xf>
    <xf numFmtId="0" fontId="103" fillId="0" borderId="28" xfId="0" applyFont="1" applyFill="1" applyBorder="1" applyAlignment="1" applyProtection="1">
      <alignment horizontal="center" vertical="center" wrapText="1"/>
    </xf>
    <xf numFmtId="4" fontId="103" fillId="3" borderId="44" xfId="0" applyNumberFormat="1" applyFont="1" applyFill="1" applyBorder="1" applyAlignment="1" applyProtection="1">
      <alignment horizontal="center" vertical="center" wrapText="1"/>
    </xf>
    <xf numFmtId="4" fontId="103" fillId="3" borderId="62" xfId="0" applyNumberFormat="1" applyFont="1" applyFill="1" applyBorder="1" applyAlignment="1" applyProtection="1">
      <alignment horizontal="center" vertical="center" wrapText="1"/>
    </xf>
    <xf numFmtId="4" fontId="103" fillId="3" borderId="57" xfId="0" applyNumberFormat="1" applyFont="1" applyFill="1" applyBorder="1" applyAlignment="1" applyProtection="1">
      <alignment horizontal="center" vertical="center" wrapText="1"/>
    </xf>
    <xf numFmtId="4" fontId="103" fillId="3" borderId="58" xfId="0" applyNumberFormat="1" applyFont="1" applyFill="1" applyBorder="1" applyAlignment="1" applyProtection="1">
      <alignment horizontal="center" vertical="center" wrapText="1"/>
    </xf>
    <xf numFmtId="4" fontId="103" fillId="3" borderId="47" xfId="0" applyNumberFormat="1" applyFont="1" applyFill="1" applyBorder="1" applyAlignment="1" applyProtection="1">
      <alignment horizontal="center" vertical="center" wrapText="1"/>
    </xf>
    <xf numFmtId="4" fontId="103" fillId="3" borderId="35" xfId="0" applyNumberFormat="1" applyFont="1" applyFill="1" applyBorder="1" applyAlignment="1" applyProtection="1">
      <alignment horizontal="center" vertical="center" wrapText="1"/>
    </xf>
    <xf numFmtId="0" fontId="103" fillId="26" borderId="4" xfId="0" applyFont="1" applyFill="1" applyBorder="1" applyAlignment="1" applyProtection="1">
      <alignment horizontal="center" vertical="center" wrapText="1"/>
    </xf>
    <xf numFmtId="0" fontId="103" fillId="26" borderId="5" xfId="0" applyFont="1" applyFill="1" applyBorder="1" applyAlignment="1" applyProtection="1">
      <alignment horizontal="center" vertical="center" wrapText="1"/>
    </xf>
    <xf numFmtId="4" fontId="103" fillId="3" borderId="2" xfId="0" applyNumberFormat="1" applyFont="1" applyFill="1" applyBorder="1" applyAlignment="1" applyProtection="1">
      <alignment horizontal="center" vertical="center"/>
    </xf>
    <xf numFmtId="0" fontId="12" fillId="3" borderId="1" xfId="6" applyFont="1" applyFill="1" applyBorder="1" applyAlignment="1">
      <alignment horizontal="center" vertical="center" wrapText="1"/>
    </xf>
    <xf numFmtId="0" fontId="12" fillId="3" borderId="3" xfId="6" applyFont="1" applyFill="1" applyBorder="1" applyAlignment="1">
      <alignment horizontal="center" vertical="center"/>
    </xf>
    <xf numFmtId="0" fontId="12" fillId="3" borderId="1" xfId="6" applyFont="1" applyFill="1" applyBorder="1" applyAlignment="1">
      <alignment horizontal="center" vertical="center"/>
    </xf>
    <xf numFmtId="0" fontId="81" fillId="3" borderId="1" xfId="0" applyFont="1" applyFill="1" applyBorder="1" applyAlignment="1" applyProtection="1">
      <alignment horizontal="center" vertical="center" wrapText="1"/>
      <protection locked="0"/>
    </xf>
    <xf numFmtId="0" fontId="2" fillId="3" borderId="1" xfId="6" applyFont="1" applyFill="1" applyBorder="1" applyAlignment="1">
      <alignment horizontal="left" vertical="center"/>
    </xf>
    <xf numFmtId="0" fontId="85" fillId="3" borderId="0" xfId="0" applyFont="1" applyFill="1" applyAlignment="1">
      <alignment horizontal="right" vertical="center" wrapText="1"/>
    </xf>
    <xf numFmtId="0" fontId="85" fillId="3" borderId="0" xfId="0" applyFont="1" applyFill="1" applyAlignment="1">
      <alignment horizontal="right" vertical="center"/>
    </xf>
    <xf numFmtId="0" fontId="83" fillId="3" borderId="0" xfId="0" applyFont="1" applyFill="1" applyAlignment="1">
      <alignment horizontal="center"/>
    </xf>
    <xf numFmtId="49" fontId="12" fillId="3" borderId="15" xfId="6" applyNumberFormat="1" applyFont="1" applyFill="1" applyBorder="1" applyAlignment="1">
      <alignment horizontal="center" vertical="center" wrapText="1"/>
    </xf>
    <xf numFmtId="49" fontId="12" fillId="3" borderId="2" xfId="6" applyNumberFormat="1" applyFont="1" applyFill="1" applyBorder="1" applyAlignment="1">
      <alignment horizontal="center" vertical="center" wrapText="1"/>
    </xf>
    <xf numFmtId="0" fontId="12" fillId="3" borderId="4" xfId="6" applyFont="1" applyFill="1" applyBorder="1" applyAlignment="1">
      <alignment horizontal="center" vertical="center" wrapText="1"/>
    </xf>
    <xf numFmtId="0" fontId="12" fillId="3" borderId="5" xfId="6" applyFont="1" applyFill="1" applyBorder="1" applyAlignment="1">
      <alignment horizontal="center" vertical="center" wrapText="1"/>
    </xf>
    <xf numFmtId="0" fontId="152" fillId="3" borderId="0" xfId="0" applyFont="1" applyFill="1" applyAlignment="1" applyProtection="1">
      <alignment horizontal="center" vertical="center"/>
      <protection locked="0"/>
    </xf>
    <xf numFmtId="0" fontId="85" fillId="0" borderId="0" xfId="0" applyFont="1" applyAlignment="1">
      <alignment horizontal="right" vertical="center" wrapText="1"/>
    </xf>
    <xf numFmtId="0" fontId="83" fillId="0" borderId="0" xfId="0" applyFont="1" applyAlignment="1">
      <alignment horizontal="center"/>
    </xf>
    <xf numFmtId="180" fontId="17" fillId="3" borderId="9" xfId="6" applyNumberFormat="1" applyFont="1" applyFill="1" applyBorder="1" applyAlignment="1" applyProtection="1">
      <alignment horizontal="center" vertical="center"/>
    </xf>
    <xf numFmtId="180" fontId="17" fillId="3" borderId="60" xfId="6" applyNumberFormat="1" applyFont="1" applyFill="1" applyBorder="1" applyAlignment="1" applyProtection="1">
      <alignment horizontal="center" vertical="center"/>
    </xf>
    <xf numFmtId="180" fontId="17" fillId="3" borderId="25" xfId="6" applyNumberFormat="1" applyFont="1" applyFill="1" applyBorder="1" applyAlignment="1" applyProtection="1">
      <alignment horizontal="center" vertical="center"/>
    </xf>
    <xf numFmtId="4" fontId="17" fillId="3" borderId="9" xfId="6" applyNumberFormat="1" applyFont="1" applyFill="1" applyBorder="1" applyAlignment="1" applyProtection="1">
      <alignment horizontal="center" vertical="center"/>
    </xf>
    <xf numFmtId="4" fontId="17" fillId="3" borderId="60" xfId="6" applyNumberFormat="1" applyFont="1" applyFill="1" applyBorder="1" applyAlignment="1" applyProtection="1">
      <alignment horizontal="center" vertical="center"/>
    </xf>
    <xf numFmtId="4" fontId="17" fillId="3" borderId="25" xfId="6" applyNumberFormat="1" applyFont="1" applyFill="1" applyBorder="1" applyAlignment="1" applyProtection="1">
      <alignment horizontal="center" vertical="center"/>
    </xf>
    <xf numFmtId="0" fontId="17" fillId="22" borderId="9" xfId="6" applyFont="1" applyFill="1" applyBorder="1" applyAlignment="1" applyProtection="1">
      <alignment horizontal="left" vertical="center" wrapText="1"/>
    </xf>
    <xf numFmtId="0" fontId="17" fillId="22" borderId="60" xfId="6" applyFont="1" applyFill="1" applyBorder="1" applyAlignment="1" applyProtection="1">
      <alignment horizontal="left" vertical="center" wrapText="1"/>
    </xf>
    <xf numFmtId="0" fontId="17" fillId="22" borderId="25" xfId="6" applyFont="1" applyFill="1" applyBorder="1" applyAlignment="1" applyProtection="1">
      <alignment horizontal="left" vertical="center" wrapText="1"/>
    </xf>
    <xf numFmtId="0" fontId="22" fillId="3" borderId="1" xfId="6" applyFont="1" applyFill="1" applyBorder="1" applyAlignment="1" applyProtection="1">
      <alignment horizontal="left" vertical="center" wrapText="1"/>
    </xf>
    <xf numFmtId="0" fontId="17" fillId="3" borderId="1" xfId="6" applyFont="1" applyFill="1" applyBorder="1" applyAlignment="1" applyProtection="1">
      <alignment horizontal="left" vertical="center" wrapText="1" indent="1"/>
    </xf>
    <xf numFmtId="180" fontId="17" fillId="3" borderId="1" xfId="6" applyNumberFormat="1" applyFont="1" applyFill="1" applyBorder="1" applyAlignment="1" applyProtection="1">
      <alignment horizontal="center" vertical="center"/>
    </xf>
    <xf numFmtId="49" fontId="17" fillId="3" borderId="59" xfId="6" applyNumberFormat="1" applyFont="1" applyFill="1" applyBorder="1" applyAlignment="1" applyProtection="1">
      <alignment horizontal="center" vertical="center" wrapText="1" readingOrder="1"/>
    </xf>
    <xf numFmtId="49" fontId="17" fillId="3" borderId="27" xfId="6" applyNumberFormat="1" applyFont="1" applyFill="1" applyBorder="1" applyAlignment="1" applyProtection="1">
      <alignment horizontal="center" vertical="center" wrapText="1" readingOrder="1"/>
    </xf>
    <xf numFmtId="49" fontId="17" fillId="3" borderId="40" xfId="6" applyNumberFormat="1" applyFont="1" applyFill="1" applyBorder="1" applyAlignment="1" applyProtection="1">
      <alignment horizontal="center" vertical="center" wrapText="1" readingOrder="1"/>
    </xf>
    <xf numFmtId="49" fontId="17" fillId="3" borderId="41" xfId="6" applyNumberFormat="1" applyFont="1" applyFill="1" applyBorder="1" applyAlignment="1" applyProtection="1">
      <alignment horizontal="center" vertical="center" wrapText="1" readingOrder="1"/>
    </xf>
    <xf numFmtId="49" fontId="17" fillId="3" borderId="32" xfId="6" applyNumberFormat="1" applyFont="1" applyFill="1" applyBorder="1" applyAlignment="1" applyProtection="1">
      <alignment horizontal="center" vertical="center" wrapText="1" readingOrder="1"/>
    </xf>
    <xf numFmtId="49" fontId="17" fillId="3" borderId="26" xfId="6" applyNumberFormat="1" applyFont="1" applyFill="1" applyBorder="1" applyAlignment="1" applyProtection="1">
      <alignment horizontal="center" vertical="center" wrapText="1" readingOrder="1"/>
    </xf>
    <xf numFmtId="0" fontId="17" fillId="3" borderId="1" xfId="6" applyFont="1" applyFill="1" applyBorder="1" applyAlignment="1" applyProtection="1">
      <alignment horizontal="center" vertical="center" wrapText="1"/>
    </xf>
    <xf numFmtId="49" fontId="17" fillId="3" borderId="1" xfId="6" applyNumberFormat="1" applyFont="1" applyFill="1" applyBorder="1" applyAlignment="1" applyProtection="1">
      <alignment horizontal="center" vertical="center" wrapText="1" readingOrder="1"/>
    </xf>
    <xf numFmtId="4" fontId="17" fillId="3" borderId="1" xfId="6" applyNumberFormat="1" applyFont="1" applyFill="1" applyBorder="1" applyAlignment="1" applyProtection="1">
      <alignment horizontal="center" vertical="center"/>
    </xf>
    <xf numFmtId="4" fontId="17" fillId="10" borderId="1" xfId="6" applyNumberFormat="1" applyFont="1" applyFill="1" applyBorder="1" applyAlignment="1" applyProtection="1">
      <alignment horizontal="center" vertical="center"/>
    </xf>
    <xf numFmtId="4" fontId="17" fillId="10" borderId="9" xfId="6" applyNumberFormat="1" applyFont="1" applyFill="1" applyBorder="1" applyAlignment="1" applyProtection="1">
      <alignment horizontal="center" vertical="center"/>
    </xf>
    <xf numFmtId="4" fontId="17" fillId="10" borderId="25" xfId="6" applyNumberFormat="1" applyFont="1" applyFill="1" applyBorder="1" applyAlignment="1" applyProtection="1">
      <alignment horizontal="center" vertical="center"/>
    </xf>
    <xf numFmtId="0" fontId="145" fillId="0" borderId="0" xfId="0" applyFont="1" applyAlignment="1" applyProtection="1">
      <alignment horizontal="center" vertical="center"/>
    </xf>
    <xf numFmtId="49" fontId="22" fillId="3" borderId="0" xfId="6" applyNumberFormat="1" applyFont="1" applyFill="1" applyBorder="1" applyAlignment="1" applyProtection="1">
      <alignment horizontal="left" vertical="center"/>
    </xf>
    <xf numFmtId="49" fontId="17" fillId="3" borderId="30" xfId="6" applyNumberFormat="1" applyFont="1" applyFill="1" applyBorder="1" applyAlignment="1" applyProtection="1">
      <alignment vertical="center"/>
    </xf>
    <xf numFmtId="49" fontId="17" fillId="3" borderId="21" xfId="6" applyNumberFormat="1" applyFont="1" applyFill="1" applyBorder="1" applyAlignment="1" applyProtection="1">
      <alignment vertical="center"/>
    </xf>
    <xf numFmtId="0" fontId="17" fillId="0" borderId="54" xfId="6" applyFont="1" applyFill="1" applyBorder="1" applyAlignment="1" applyProtection="1">
      <alignment horizontal="center" vertical="center"/>
    </xf>
    <xf numFmtId="0" fontId="17" fillId="0" borderId="11" xfId="6" applyFont="1" applyFill="1" applyBorder="1" applyAlignment="1" applyProtection="1">
      <alignment horizontal="center" vertical="center"/>
    </xf>
    <xf numFmtId="0" fontId="17" fillId="3" borderId="1" xfId="6" applyFont="1" applyFill="1" applyBorder="1" applyAlignment="1" applyProtection="1">
      <alignment horizontal="center" vertical="center"/>
    </xf>
    <xf numFmtId="0" fontId="17" fillId="3" borderId="71" xfId="6" applyFont="1" applyFill="1" applyBorder="1" applyAlignment="1" applyProtection="1">
      <alignment horizontal="center" vertical="center" wrapText="1"/>
    </xf>
    <xf numFmtId="0" fontId="17" fillId="3" borderId="37" xfId="6" applyFont="1" applyFill="1" applyBorder="1" applyAlignment="1" applyProtection="1">
      <alignment horizontal="center" vertical="center" wrapText="1"/>
    </xf>
    <xf numFmtId="0" fontId="17" fillId="3" borderId="33" xfId="6" applyFont="1" applyFill="1" applyBorder="1" applyAlignment="1" applyProtection="1">
      <alignment horizontal="center" vertical="center" wrapText="1"/>
    </xf>
    <xf numFmtId="0" fontId="17" fillId="3" borderId="1" xfId="6" applyFont="1" applyFill="1" applyBorder="1" applyAlignment="1" applyProtection="1">
      <alignment horizontal="left" vertical="center" wrapText="1"/>
    </xf>
    <xf numFmtId="4" fontId="17" fillId="3" borderId="1" xfId="6" applyNumberFormat="1" applyFont="1" applyFill="1" applyBorder="1" applyAlignment="1" applyProtection="1">
      <alignment horizontal="left" vertical="center" wrapText="1"/>
    </xf>
    <xf numFmtId="4" fontId="17" fillId="22" borderId="1" xfId="6" applyNumberFormat="1" applyFont="1" applyFill="1" applyBorder="1" applyAlignment="1" applyProtection="1">
      <alignment horizontal="left" vertical="center" wrapText="1"/>
    </xf>
    <xf numFmtId="0" fontId="35" fillId="3" borderId="15" xfId="6" applyFont="1" applyFill="1" applyBorder="1" applyAlignment="1" applyProtection="1">
      <alignment horizontal="center" vertical="center"/>
    </xf>
    <xf numFmtId="0" fontId="35" fillId="3" borderId="3" xfId="6" applyFont="1" applyFill="1" applyBorder="1" applyAlignment="1" applyProtection="1">
      <alignment horizontal="center" vertical="center"/>
    </xf>
    <xf numFmtId="0" fontId="48" fillId="3" borderId="1" xfId="6" applyFont="1" applyFill="1" applyBorder="1" applyAlignment="1" applyProtection="1">
      <alignment horizontal="center" vertical="center" wrapText="1"/>
    </xf>
    <xf numFmtId="0" fontId="17" fillId="3" borderId="1" xfId="6" applyFont="1" applyFill="1" applyBorder="1" applyAlignment="1" applyProtection="1">
      <alignment horizontal="left" vertical="center" wrapText="1" indent="2"/>
    </xf>
    <xf numFmtId="0" fontId="17" fillId="3" borderId="2" xfId="6" applyFont="1" applyFill="1" applyBorder="1" applyAlignment="1" applyProtection="1">
      <alignment horizontal="left" vertical="center"/>
    </xf>
    <xf numFmtId="0" fontId="17" fillId="3" borderId="1" xfId="6" applyFont="1" applyFill="1" applyBorder="1" applyAlignment="1" applyProtection="1">
      <alignment horizontal="left" vertical="center"/>
    </xf>
    <xf numFmtId="180" fontId="48" fillId="3" borderId="1" xfId="6" applyNumberFormat="1" applyFont="1" applyFill="1" applyBorder="1" applyAlignment="1" applyProtection="1">
      <alignment horizontal="center" vertical="center"/>
    </xf>
    <xf numFmtId="180" fontId="17" fillId="3" borderId="6" xfId="6" applyNumberFormat="1" applyFont="1" applyFill="1" applyBorder="1" applyAlignment="1" applyProtection="1">
      <alignment horizontal="center" vertical="center"/>
    </xf>
    <xf numFmtId="0" fontId="17" fillId="3" borderId="8" xfId="6" applyFont="1" applyFill="1" applyBorder="1" applyAlignment="1" applyProtection="1">
      <alignment horizontal="left" vertical="center" wrapText="1"/>
    </xf>
    <xf numFmtId="0" fontId="17" fillId="3" borderId="6" xfId="6" applyFont="1" applyFill="1" applyBorder="1" applyAlignment="1" applyProtection="1">
      <alignment horizontal="left" vertical="center" wrapText="1"/>
    </xf>
    <xf numFmtId="49" fontId="48" fillId="3" borderId="0" xfId="6" applyNumberFormat="1" applyFont="1" applyFill="1" applyBorder="1" applyAlignment="1" applyProtection="1">
      <alignment horizontal="left" vertical="center" wrapText="1"/>
    </xf>
    <xf numFmtId="0" fontId="22" fillId="3" borderId="40" xfId="6" applyFont="1" applyFill="1" applyBorder="1" applyAlignment="1" applyProtection="1">
      <alignment horizontal="left" wrapText="1"/>
    </xf>
    <xf numFmtId="0" fontId="22" fillId="3" borderId="0" xfId="6" applyFont="1" applyFill="1" applyBorder="1" applyAlignment="1" applyProtection="1">
      <alignment horizontal="left" wrapText="1"/>
    </xf>
    <xf numFmtId="0" fontId="22" fillId="3" borderId="40" xfId="6" applyFont="1" applyFill="1" applyBorder="1" applyAlignment="1" applyProtection="1">
      <alignment horizontal="left" vertical="center" wrapText="1"/>
    </xf>
    <xf numFmtId="0" fontId="22" fillId="3" borderId="0" xfId="6" applyFont="1" applyFill="1" applyBorder="1" applyAlignment="1" applyProtection="1">
      <alignment horizontal="left" vertical="center" wrapText="1"/>
    </xf>
    <xf numFmtId="0" fontId="17" fillId="7" borderId="1" xfId="6" applyFont="1" applyFill="1" applyBorder="1" applyAlignment="1" applyProtection="1">
      <alignment horizontal="left" vertical="center" wrapText="1"/>
    </xf>
    <xf numFmtId="0" fontId="17" fillId="3" borderId="9" xfId="6" applyFont="1" applyFill="1" applyBorder="1" applyAlignment="1" applyProtection="1">
      <alignment horizontal="left" vertical="center" indent="2"/>
    </xf>
    <xf numFmtId="0" fontId="17" fillId="3" borderId="60" xfId="6" applyFont="1" applyFill="1" applyBorder="1" applyAlignment="1" applyProtection="1">
      <alignment horizontal="left" vertical="center" indent="2"/>
    </xf>
    <xf numFmtId="0" fontId="17" fillId="3" borderId="25" xfId="6" applyFont="1" applyFill="1" applyBorder="1" applyAlignment="1" applyProtection="1">
      <alignment horizontal="left" vertical="center" indent="2"/>
    </xf>
    <xf numFmtId="0" fontId="48" fillId="3" borderId="9" xfId="6" applyFont="1" applyFill="1" applyBorder="1" applyAlignment="1" applyProtection="1">
      <alignment horizontal="left" vertical="center" indent="2"/>
    </xf>
    <xf numFmtId="0" fontId="48" fillId="3" borderId="60" xfId="6" applyFont="1" applyFill="1" applyBorder="1" applyAlignment="1" applyProtection="1">
      <alignment horizontal="left" vertical="center" indent="2"/>
    </xf>
    <xf numFmtId="0" fontId="48" fillId="3" borderId="25" xfId="6" applyFont="1" applyFill="1" applyBorder="1" applyAlignment="1" applyProtection="1">
      <alignment horizontal="left" vertical="center" indent="2"/>
    </xf>
    <xf numFmtId="0" fontId="17" fillId="3" borderId="9" xfId="6" applyFont="1" applyFill="1" applyBorder="1" applyAlignment="1" applyProtection="1">
      <alignment horizontal="left" vertical="center" wrapText="1"/>
    </xf>
    <xf numFmtId="0" fontId="17" fillId="3" borderId="60" xfId="6" applyFont="1" applyFill="1" applyBorder="1" applyAlignment="1" applyProtection="1">
      <alignment horizontal="left" vertical="center" wrapText="1"/>
    </xf>
    <xf numFmtId="0" fontId="17" fillId="3" borderId="25" xfId="6" applyFont="1" applyFill="1" applyBorder="1" applyAlignment="1" applyProtection="1">
      <alignment horizontal="left" vertical="center" wrapText="1"/>
    </xf>
    <xf numFmtId="0" fontId="17" fillId="22" borderId="9" xfId="6" applyFont="1" applyFill="1" applyBorder="1" applyAlignment="1" applyProtection="1">
      <alignment horizontal="left" vertical="center"/>
    </xf>
    <xf numFmtId="0" fontId="17" fillId="22" borderId="60" xfId="6" applyFont="1" applyFill="1" applyBorder="1" applyAlignment="1" applyProtection="1">
      <alignment horizontal="left" vertical="center"/>
    </xf>
    <xf numFmtId="0" fontId="17" fillId="22" borderId="25" xfId="6" applyFont="1" applyFill="1" applyBorder="1" applyAlignment="1" applyProtection="1">
      <alignment horizontal="left" vertical="center"/>
    </xf>
    <xf numFmtId="0" fontId="17" fillId="3" borderId="9" xfId="6" applyFont="1" applyFill="1" applyBorder="1" applyAlignment="1" applyProtection="1">
      <alignment horizontal="left" vertical="center" wrapText="1" indent="1"/>
    </xf>
    <xf numFmtId="0" fontId="17" fillId="3" borderId="60" xfId="6" applyFont="1" applyFill="1" applyBorder="1" applyAlignment="1" applyProtection="1">
      <alignment horizontal="left" vertical="center" wrapText="1" indent="1"/>
    </xf>
    <xf numFmtId="0" fontId="17" fillId="3" borderId="25" xfId="6" applyFont="1" applyFill="1" applyBorder="1" applyAlignment="1" applyProtection="1">
      <alignment horizontal="left" vertical="center" wrapText="1" indent="1"/>
    </xf>
    <xf numFmtId="0" fontId="17" fillId="3" borderId="9" xfId="6" applyFont="1" applyFill="1" applyBorder="1" applyAlignment="1" applyProtection="1">
      <alignment horizontal="left" vertical="center"/>
    </xf>
    <xf numFmtId="0" fontId="17" fillId="3" borderId="60" xfId="6" applyFont="1" applyFill="1" applyBorder="1" applyAlignment="1" applyProtection="1">
      <alignment horizontal="left" vertical="center"/>
    </xf>
    <xf numFmtId="0" fontId="17" fillId="3" borderId="25" xfId="6" applyFont="1" applyFill="1" applyBorder="1" applyAlignment="1" applyProtection="1">
      <alignment horizontal="left" vertical="center"/>
    </xf>
    <xf numFmtId="0" fontId="48" fillId="3" borderId="9" xfId="6" applyFont="1" applyFill="1" applyBorder="1" applyAlignment="1" applyProtection="1">
      <alignment horizontal="left" vertical="center" indent="3"/>
    </xf>
    <xf numFmtId="0" fontId="48" fillId="3" borderId="60" xfId="6" applyFont="1" applyFill="1" applyBorder="1" applyAlignment="1" applyProtection="1">
      <alignment horizontal="left" vertical="center" indent="3"/>
    </xf>
    <xf numFmtId="0" fontId="48" fillId="3" borderId="25" xfId="6" applyFont="1" applyFill="1" applyBorder="1" applyAlignment="1" applyProtection="1">
      <alignment horizontal="left" vertical="center" indent="3"/>
    </xf>
    <xf numFmtId="0" fontId="48" fillId="3" borderId="9" xfId="6" applyFont="1" applyFill="1" applyBorder="1" applyAlignment="1" applyProtection="1">
      <alignment horizontal="left" vertical="center" wrapText="1" indent="3"/>
    </xf>
    <xf numFmtId="0" fontId="48" fillId="3" borderId="60" xfId="6" applyFont="1" applyFill="1" applyBorder="1" applyAlignment="1" applyProtection="1">
      <alignment horizontal="left" vertical="center" wrapText="1" indent="3"/>
    </xf>
    <xf numFmtId="0" fontId="48" fillId="3" borderId="25" xfId="6" applyFont="1" applyFill="1" applyBorder="1" applyAlignment="1" applyProtection="1">
      <alignment horizontal="left" vertical="center" wrapText="1" indent="3"/>
    </xf>
    <xf numFmtId="0" fontId="17" fillId="7" borderId="1" xfId="6" applyFont="1" applyFill="1" applyBorder="1" applyAlignment="1" applyProtection="1">
      <alignment horizontal="left" vertical="center"/>
    </xf>
    <xf numFmtId="0" fontId="12" fillId="0" borderId="0" xfId="6" applyFont="1" applyFill="1" applyBorder="1" applyAlignment="1" applyProtection="1">
      <alignment horizontal="center" vertical="center"/>
    </xf>
    <xf numFmtId="49" fontId="20" fillId="3" borderId="1" xfId="6" applyNumberFormat="1" applyFont="1" applyFill="1" applyBorder="1" applyAlignment="1">
      <alignment horizontal="center" vertical="center" wrapText="1" readingOrder="1"/>
    </xf>
    <xf numFmtId="0" fontId="8" fillId="3" borderId="1" xfId="6" applyFont="1" applyFill="1" applyBorder="1" applyAlignment="1">
      <alignment horizontal="center" vertical="center" wrapText="1"/>
    </xf>
    <xf numFmtId="49" fontId="2" fillId="3" borderId="30" xfId="6" applyNumberFormat="1" applyFont="1" applyFill="1" applyBorder="1" applyAlignment="1">
      <alignment horizontal="center" vertical="center"/>
    </xf>
    <xf numFmtId="49" fontId="2" fillId="3" borderId="39" xfId="6" applyNumberFormat="1" applyFont="1" applyFill="1" applyBorder="1" applyAlignment="1">
      <alignment horizontal="center" vertical="center"/>
    </xf>
    <xf numFmtId="49" fontId="2" fillId="3" borderId="21" xfId="6" applyNumberFormat="1" applyFont="1" applyFill="1" applyBorder="1" applyAlignment="1">
      <alignment horizontal="center" vertical="center"/>
    </xf>
    <xf numFmtId="0" fontId="7" fillId="3" borderId="3" xfId="6" applyFont="1" applyFill="1" applyBorder="1" applyAlignment="1">
      <alignment horizontal="center" vertical="center" wrapText="1"/>
    </xf>
    <xf numFmtId="0" fontId="7" fillId="3" borderId="1" xfId="6" applyFont="1" applyFill="1" applyBorder="1" applyAlignment="1">
      <alignment horizontal="center" vertical="center" wrapText="1"/>
    </xf>
    <xf numFmtId="49" fontId="20" fillId="3" borderId="0" xfId="6" applyNumberFormat="1" applyFont="1" applyFill="1" applyBorder="1" applyAlignment="1">
      <alignment horizontal="left" vertical="top" wrapText="1" readingOrder="1"/>
    </xf>
    <xf numFmtId="0" fontId="8" fillId="10" borderId="13" xfId="6" applyFont="1" applyFill="1" applyBorder="1" applyAlignment="1" applyProtection="1">
      <alignment horizontal="center" vertical="center" wrapText="1"/>
    </xf>
    <xf numFmtId="0" fontId="8" fillId="10" borderId="23" xfId="6" applyFont="1" applyFill="1" applyBorder="1" applyAlignment="1" applyProtection="1">
      <alignment horizontal="center" vertical="center" wrapText="1"/>
    </xf>
    <xf numFmtId="0" fontId="8" fillId="10" borderId="11" xfId="6" applyFont="1" applyFill="1" applyBorder="1" applyAlignment="1" applyProtection="1">
      <alignment horizontal="center" vertical="center" wrapText="1"/>
    </xf>
    <xf numFmtId="0" fontId="8" fillId="3" borderId="13" xfId="6" applyFont="1" applyFill="1" applyBorder="1" applyAlignment="1" applyProtection="1">
      <alignment horizontal="center" vertical="center" wrapText="1"/>
    </xf>
    <xf numFmtId="0" fontId="8" fillId="3" borderId="23" xfId="6" applyFont="1" applyFill="1" applyBorder="1" applyAlignment="1" applyProtection="1">
      <alignment horizontal="center" vertical="center" wrapText="1"/>
    </xf>
    <xf numFmtId="0" fontId="8" fillId="3" borderId="11" xfId="6" applyFont="1" applyFill="1" applyBorder="1" applyAlignment="1" applyProtection="1">
      <alignment horizontal="center" vertical="center" wrapText="1"/>
    </xf>
    <xf numFmtId="180" fontId="19" fillId="3" borderId="0" xfId="6" applyNumberFormat="1" applyFont="1" applyFill="1" applyBorder="1" applyAlignment="1">
      <alignment horizontal="left" vertical="center"/>
    </xf>
    <xf numFmtId="0" fontId="8" fillId="3" borderId="0" xfId="6" applyFont="1" applyFill="1" applyBorder="1" applyAlignment="1">
      <alignment horizontal="center" vertical="center"/>
    </xf>
    <xf numFmtId="180" fontId="117" fillId="3" borderId="0" xfId="6" applyNumberFormat="1" applyFont="1" applyFill="1" applyBorder="1" applyAlignment="1" applyProtection="1">
      <alignment horizontal="center" vertical="center"/>
      <protection locked="0"/>
    </xf>
    <xf numFmtId="49" fontId="8" fillId="3" borderId="3" xfId="6" applyNumberFormat="1" applyFont="1" applyFill="1" applyBorder="1" applyAlignment="1">
      <alignment horizontal="center" vertical="center" wrapText="1"/>
    </xf>
    <xf numFmtId="49" fontId="8" fillId="3" borderId="1" xfId="6" applyNumberFormat="1" applyFont="1" applyFill="1" applyBorder="1" applyAlignment="1">
      <alignment horizontal="center" vertical="center" wrapText="1"/>
    </xf>
    <xf numFmtId="0" fontId="2" fillId="3" borderId="60" xfId="6" applyFont="1" applyFill="1" applyBorder="1" applyAlignment="1">
      <alignment horizontal="center" vertical="center" wrapText="1"/>
    </xf>
    <xf numFmtId="0" fontId="2" fillId="3" borderId="25" xfId="6" applyFont="1" applyFill="1" applyBorder="1" applyAlignment="1">
      <alignment horizontal="center" vertical="center" wrapText="1"/>
    </xf>
    <xf numFmtId="49" fontId="20" fillId="3" borderId="13" xfId="6" applyNumberFormat="1" applyFont="1" applyFill="1" applyBorder="1" applyAlignment="1">
      <alignment horizontal="center" vertical="center" wrapText="1" readingOrder="1"/>
    </xf>
    <xf numFmtId="49" fontId="20" fillId="3" borderId="11" xfId="6" applyNumberFormat="1" applyFont="1" applyFill="1" applyBorder="1" applyAlignment="1">
      <alignment horizontal="center" vertical="center" wrapText="1" readingOrder="1"/>
    </xf>
    <xf numFmtId="49" fontId="129" fillId="3" borderId="0" xfId="6" applyNumberFormat="1" applyFont="1" applyFill="1" applyBorder="1" applyAlignment="1" applyProtection="1">
      <alignment horizontal="center" vertical="center" wrapText="1"/>
    </xf>
    <xf numFmtId="49" fontId="129" fillId="3" borderId="0" xfId="6" applyNumberFormat="1" applyFont="1" applyFill="1" applyBorder="1" applyAlignment="1" applyProtection="1">
      <alignment horizontal="center" vertical="center" wrapText="1" readingOrder="1"/>
      <protection locked="0"/>
    </xf>
    <xf numFmtId="49" fontId="129" fillId="25" borderId="13" xfId="6" applyNumberFormat="1" applyFont="1" applyFill="1" applyBorder="1" applyAlignment="1" applyProtection="1">
      <alignment horizontal="center" vertical="center" wrapText="1"/>
    </xf>
    <xf numFmtId="49" fontId="129" fillId="25" borderId="11" xfId="6" applyNumberFormat="1" applyFont="1" applyFill="1" applyBorder="1" applyAlignment="1" applyProtection="1">
      <alignment horizontal="center" vertical="center" wrapText="1"/>
    </xf>
    <xf numFmtId="0" fontId="0" fillId="0" borderId="1" xfId="0" applyBorder="1" applyAlignment="1">
      <alignment horizontal="center"/>
    </xf>
    <xf numFmtId="0" fontId="12" fillId="3" borderId="69" xfId="6" applyFont="1" applyFill="1" applyBorder="1" applyAlignment="1">
      <alignment horizontal="center" vertical="center" wrapText="1"/>
    </xf>
    <xf numFmtId="0" fontId="0" fillId="0" borderId="1" xfId="0" applyBorder="1" applyAlignment="1">
      <alignment horizontal="center" vertical="center" wrapText="1"/>
    </xf>
    <xf numFmtId="0" fontId="2" fillId="3" borderId="31" xfId="6" applyFont="1" applyFill="1" applyBorder="1" applyAlignment="1">
      <alignment horizontal="center" vertical="center" wrapText="1"/>
    </xf>
    <xf numFmtId="0" fontId="2" fillId="3" borderId="11" xfId="6" applyFont="1" applyFill="1" applyBorder="1" applyAlignment="1">
      <alignment horizontal="center" vertical="center" wrapText="1"/>
    </xf>
    <xf numFmtId="0" fontId="80" fillId="0" borderId="2" xfId="0" applyFont="1" applyBorder="1" applyAlignment="1">
      <alignment horizontal="center" wrapText="1"/>
    </xf>
    <xf numFmtId="0" fontId="80" fillId="0" borderId="5" xfId="0" applyFont="1" applyBorder="1" applyAlignment="1">
      <alignment horizontal="center" wrapText="1"/>
    </xf>
    <xf numFmtId="0" fontId="12" fillId="0" borderId="15" xfId="6" applyFont="1" applyFill="1" applyBorder="1" applyAlignment="1">
      <alignment horizontal="center" vertical="center" wrapText="1"/>
    </xf>
    <xf numFmtId="0" fontId="12" fillId="0" borderId="28"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12" fillId="3" borderId="15" xfId="6" applyFont="1" applyFill="1" applyBorder="1" applyAlignment="1">
      <alignment horizontal="center" vertical="center" wrapText="1"/>
    </xf>
    <xf numFmtId="0" fontId="12" fillId="3" borderId="28" xfId="6" applyFont="1" applyFill="1" applyBorder="1" applyAlignment="1">
      <alignment horizontal="center" vertical="center" wrapText="1"/>
    </xf>
    <xf numFmtId="0" fontId="80" fillId="0" borderId="9" xfId="0" applyFont="1" applyBorder="1" applyAlignment="1">
      <alignment horizontal="center" wrapText="1"/>
    </xf>
    <xf numFmtId="4" fontId="8" fillId="3" borderId="13" xfId="6" applyNumberFormat="1" applyFont="1" applyFill="1" applyBorder="1" applyAlignment="1" applyProtection="1">
      <alignment horizontal="center" vertical="center" wrapText="1"/>
    </xf>
    <xf numFmtId="4" fontId="8" fillId="3" borderId="23" xfId="6" applyNumberFormat="1" applyFont="1" applyFill="1" applyBorder="1" applyAlignment="1" applyProtection="1">
      <alignment horizontal="center" vertical="center" wrapText="1"/>
    </xf>
    <xf numFmtId="4" fontId="8" fillId="3" borderId="11" xfId="6" applyNumberFormat="1" applyFont="1" applyFill="1" applyBorder="1" applyAlignment="1" applyProtection="1">
      <alignment horizontal="center" vertical="center" wrapText="1"/>
    </xf>
    <xf numFmtId="0" fontId="2" fillId="0" borderId="70" xfId="6" applyFont="1" applyFill="1" applyBorder="1" applyAlignment="1" applyProtection="1">
      <alignment horizontal="center" vertical="center"/>
      <protection locked="0"/>
    </xf>
    <xf numFmtId="0" fontId="6" fillId="3" borderId="0" xfId="6" applyFont="1" applyFill="1" applyBorder="1" applyAlignment="1">
      <alignment horizontal="center" vertical="center"/>
    </xf>
    <xf numFmtId="0" fontId="2" fillId="0" borderId="15" xfId="6" applyFont="1" applyFill="1" applyBorder="1" applyAlignment="1">
      <alignment horizontal="center" vertical="center" wrapText="1"/>
    </xf>
    <xf numFmtId="0" fontId="2" fillId="0" borderId="14" xfId="6" applyFont="1" applyFill="1" applyBorder="1" applyAlignment="1">
      <alignment horizontal="center" vertical="center" wrapText="1"/>
    </xf>
    <xf numFmtId="0" fontId="2" fillId="3" borderId="53" xfId="6" applyFont="1" applyFill="1" applyBorder="1" applyAlignment="1">
      <alignment horizontal="center"/>
    </xf>
    <xf numFmtId="0" fontId="2" fillId="3" borderId="41" xfId="6" applyFont="1" applyFill="1" applyBorder="1" applyAlignment="1">
      <alignment horizontal="center"/>
    </xf>
    <xf numFmtId="0" fontId="2" fillId="3" borderId="3" xfId="6" applyFont="1" applyFill="1" applyBorder="1" applyAlignment="1">
      <alignment horizontal="center"/>
    </xf>
    <xf numFmtId="0" fontId="2" fillId="3" borderId="4" xfId="6" applyFont="1" applyFill="1" applyBorder="1" applyAlignment="1">
      <alignment horizontal="center"/>
    </xf>
  </cellXfs>
  <cellStyles count="9">
    <cellStyle name="Normal" xfId="1"/>
    <cellStyle name="Normal 2" xfId="2"/>
    <cellStyle name="Normal 3" xfId="3"/>
    <cellStyle name="Normal 5" xfId="4"/>
    <cellStyle name="Гиперссылка" xfId="5" builtinId="8"/>
    <cellStyle name="Обычный" xfId="0" builtinId="0"/>
    <cellStyle name="Обычный 2" xfId="6"/>
    <cellStyle name="Обычный 3" xfId="7"/>
    <cellStyle name="Финансовый" xfId="8" builtinId="3"/>
  </cellStyles>
  <dxfs count="480">
    <dxf>
      <font>
        <color rgb="FF9C0006"/>
      </font>
      <fill>
        <patternFill>
          <fgColor indexed="64"/>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ont>
        <color rgb="FF9C0006"/>
      </font>
      <fill>
        <patternFill>
          <bgColor rgb="FFFFC7CE"/>
        </patternFill>
      </fill>
    </dxf>
    <dxf>
      <font>
        <color rgb="FF9C0006"/>
      </font>
      <fill>
        <patternFill>
          <fgColor indexed="64"/>
          <bgColor rgb="FFFFC7CE"/>
        </patternFill>
      </fill>
    </dxf>
    <dxf>
      <fill>
        <patternFill>
          <bgColor rgb="FFFF0000"/>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fgColor indexed="64"/>
          <bgColor rgb="FFFFC7CE"/>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ont>
        <color rgb="FF9C0006"/>
      </font>
      <fill>
        <patternFill>
          <fgColor indexed="64"/>
          <bgColor rgb="FFFFC7CE"/>
        </patternFill>
      </fill>
    </dxf>
    <dxf>
      <font>
        <color rgb="FF9C0006"/>
      </font>
      <fill>
        <patternFill>
          <fgColor indexed="64"/>
          <bgColor rgb="FFFFC7CE"/>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ont>
        <color rgb="FF9C0006"/>
      </font>
      <fill>
        <patternFill>
          <fgColor indexed="64"/>
          <bgColor rgb="FFFFC7CE"/>
        </patternFill>
      </fill>
    </dxf>
    <dxf>
      <font>
        <color rgb="FF9C0006"/>
      </font>
      <fill>
        <patternFill>
          <fgColor indexed="64"/>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rgb="FF9C0006"/>
      </font>
      <fill>
        <patternFill>
          <bgColor rgb="FFFFC7CE"/>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numFmt numFmtId="4" formatCode="#,##0.00"/>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ont>
        <color rgb="FF9C0006"/>
      </font>
      <fill>
        <patternFill>
          <fgColor indexed="64"/>
          <bgColor rgb="FFFFC7CE"/>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numFmt numFmtId="4" formatCode="#,##0.00"/>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fill>
        <patternFill>
          <bgColor theme="9"/>
        </patternFill>
      </fill>
    </dxf>
    <dxf>
      <fill>
        <patternFill>
          <bgColor theme="4" tint="-0.24994659260841701"/>
        </patternFill>
      </fill>
    </dxf>
    <dxf>
      <fill>
        <patternFill>
          <bgColor rgb="FFFF0000"/>
        </patternFill>
      </fill>
    </dxf>
    <dxf>
      <numFmt numFmtId="4" formatCode="#,##0.00"/>
      <fill>
        <patternFill>
          <bgColor rgb="FFFF0000"/>
        </patternFill>
      </fill>
    </dxf>
    <dxf>
      <fill>
        <patternFill>
          <bgColor theme="9"/>
        </patternFill>
      </fill>
    </dxf>
    <dxf>
      <fill>
        <patternFill>
          <bgColor theme="4"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495300</xdr:colOff>
          <xdr:row>38</xdr:row>
          <xdr:rowOff>371475</xdr:rowOff>
        </xdr:from>
        <xdr:to>
          <xdr:col>21</xdr:col>
          <xdr:colOff>428625</xdr:colOff>
          <xdr:row>42</xdr:row>
          <xdr:rowOff>209550</xdr:rowOff>
        </xdr:to>
        <xdr:pic>
          <xdr:nvPicPr>
            <xdr:cNvPr id="38333" name="Рисунок 3"/>
            <xdr:cNvPicPr>
              <a:picLocks noChangeAspect="1" noChangeArrowheads="1"/>
              <a:extLst>
                <a:ext uri="{84589F7E-364E-4C9E-8A38-B11213B215E9}">
                  <a14:cameraTool cellRange="'Звіт 1,2,3'!$A$51:$O$58" spid="_x0000_s38335"/>
                </a:ext>
              </a:extLst>
            </xdr:cNvPicPr>
          </xdr:nvPicPr>
          <xdr:blipFill>
            <a:blip xmlns:r="http://schemas.openxmlformats.org/officeDocument/2006/relationships" r:embed="rId1"/>
            <a:srcRect/>
            <a:stretch>
              <a:fillRect/>
            </a:stretch>
          </xdr:blipFill>
          <xdr:spPr bwMode="auto">
            <a:xfrm>
              <a:off x="31842075" y="27717750"/>
              <a:ext cx="19697700" cy="2743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419100</xdr:colOff>
          <xdr:row>24</xdr:row>
          <xdr:rowOff>571500</xdr:rowOff>
        </xdr:from>
        <xdr:to>
          <xdr:col>28</xdr:col>
          <xdr:colOff>714375</xdr:colOff>
          <xdr:row>34</xdr:row>
          <xdr:rowOff>171450</xdr:rowOff>
        </xdr:to>
        <xdr:pic>
          <xdr:nvPicPr>
            <xdr:cNvPr id="38334" name="Рисунок 4"/>
            <xdr:cNvPicPr>
              <a:picLocks noChangeAspect="1" noChangeArrowheads="1"/>
              <a:extLst>
                <a:ext uri="{84589F7E-364E-4C9E-8A38-B11213B215E9}">
                  <a14:cameraTool cellRange="'Звіт   4,5,6'!$A$4:$I$25" spid="_x0000_s38336"/>
                </a:ext>
              </a:extLst>
            </xdr:cNvPicPr>
          </xdr:nvPicPr>
          <xdr:blipFill>
            <a:blip xmlns:r="http://schemas.openxmlformats.org/officeDocument/2006/relationships" r:embed="rId2"/>
            <a:srcRect/>
            <a:stretch>
              <a:fillRect/>
            </a:stretch>
          </xdr:blipFill>
          <xdr:spPr bwMode="auto">
            <a:xfrm>
              <a:off x="51530250" y="15059025"/>
              <a:ext cx="12582525" cy="89439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18</xdr:row>
          <xdr:rowOff>342900</xdr:rowOff>
        </xdr:from>
        <xdr:to>
          <xdr:col>20</xdr:col>
          <xdr:colOff>9525</xdr:colOff>
          <xdr:row>23</xdr:row>
          <xdr:rowOff>295275</xdr:rowOff>
        </xdr:to>
        <xdr:pic>
          <xdr:nvPicPr>
            <xdr:cNvPr id="40447" name="Рисунок 8"/>
            <xdr:cNvPicPr>
              <a:picLocks noChangeAspect="1" noChangeArrowheads="1"/>
              <a:extLst>
                <a:ext uri="{84589F7E-364E-4C9E-8A38-B11213B215E9}">
                  <a14:cameraTool cellRange="'Звіт 1,2,3'!$A$51:$O$58" spid="_x0000_s40450"/>
                </a:ext>
              </a:extLst>
            </xdr:cNvPicPr>
          </xdr:nvPicPr>
          <xdr:blipFill>
            <a:blip xmlns:r="http://schemas.openxmlformats.org/officeDocument/2006/relationships" r:embed="rId1"/>
            <a:srcRect/>
            <a:stretch>
              <a:fillRect/>
            </a:stretch>
          </xdr:blipFill>
          <xdr:spPr bwMode="auto">
            <a:xfrm>
              <a:off x="13763625" y="7581900"/>
              <a:ext cx="17449800" cy="24193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371475</xdr:rowOff>
        </xdr:from>
        <xdr:to>
          <xdr:col>15</xdr:col>
          <xdr:colOff>1771650</xdr:colOff>
          <xdr:row>29</xdr:row>
          <xdr:rowOff>190500</xdr:rowOff>
        </xdr:to>
        <xdr:pic>
          <xdr:nvPicPr>
            <xdr:cNvPr id="40448" name="Рисунок 2"/>
            <xdr:cNvPicPr>
              <a:picLocks noChangeAspect="1" noChangeArrowheads="1"/>
              <a:extLst>
                <a:ext uri="{84589F7E-364E-4C9E-8A38-B11213B215E9}">
                  <a14:cameraTool cellRange="Валідація!$J$36:$O$38" spid="_x0000_s40451"/>
                </a:ext>
              </a:extLst>
            </xdr:cNvPicPr>
          </xdr:nvPicPr>
          <xdr:blipFill>
            <a:blip xmlns:r="http://schemas.openxmlformats.org/officeDocument/2006/relationships" r:embed="rId2"/>
            <a:srcRect/>
            <a:stretch>
              <a:fillRect/>
            </a:stretch>
          </xdr:blipFill>
          <xdr:spPr bwMode="auto">
            <a:xfrm>
              <a:off x="13877925" y="10077450"/>
              <a:ext cx="13087350" cy="25908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13</xdr:row>
          <xdr:rowOff>361950</xdr:rowOff>
        </xdr:from>
        <xdr:to>
          <xdr:col>16</xdr:col>
          <xdr:colOff>809625</xdr:colOff>
          <xdr:row>18</xdr:row>
          <xdr:rowOff>419100</xdr:rowOff>
        </xdr:to>
        <xdr:pic>
          <xdr:nvPicPr>
            <xdr:cNvPr id="40449" name="Рисунок 3"/>
            <xdr:cNvPicPr>
              <a:picLocks noChangeAspect="1" noChangeArrowheads="1"/>
              <a:extLst>
                <a:ext uri="{84589F7E-364E-4C9E-8A38-B11213B215E9}">
                  <a14:cameraTool cellRange="Валідація!$G$32:$M$34" spid="_x0000_s40452"/>
                </a:ext>
              </a:extLst>
            </xdr:cNvPicPr>
          </xdr:nvPicPr>
          <xdr:blipFill>
            <a:blip xmlns:r="http://schemas.openxmlformats.org/officeDocument/2006/relationships" r:embed="rId3"/>
            <a:srcRect/>
            <a:stretch>
              <a:fillRect/>
            </a:stretch>
          </xdr:blipFill>
          <xdr:spPr bwMode="auto">
            <a:xfrm>
              <a:off x="13925550" y="5276850"/>
              <a:ext cx="14144625" cy="23812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zakon.rada.gov.ua/laws/show/z1442-0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BP10"/>
  <sheetViews>
    <sheetView workbookViewId="0">
      <selection activeCell="C9" sqref="C9"/>
    </sheetView>
  </sheetViews>
  <sheetFormatPr defaultColWidth="8.7109375" defaultRowHeight="15" x14ac:dyDescent="0.25"/>
  <cols>
    <col min="1" max="7" width="8.7109375" style="1441"/>
    <col min="8" max="8" width="15.85546875" style="1441" customWidth="1"/>
    <col min="9" max="9" width="16.5703125" style="1441" customWidth="1"/>
    <col min="10" max="10" width="10.140625" style="1441" customWidth="1"/>
    <col min="11" max="11" width="10.28515625" style="1441" customWidth="1"/>
    <col min="12" max="12" width="9.85546875" style="1441" customWidth="1"/>
    <col min="13" max="13" width="11.140625" style="1441" customWidth="1"/>
    <col min="14" max="15" width="8.7109375" style="1441"/>
    <col min="16" max="16" width="10.5703125" style="1441" customWidth="1"/>
    <col min="17" max="17" width="10.28515625" style="1441" customWidth="1"/>
    <col min="18" max="18" width="15.5703125" style="1441" customWidth="1"/>
    <col min="19" max="19" width="15.140625" style="1441" customWidth="1"/>
    <col min="20" max="24" width="10.7109375" style="1441" customWidth="1"/>
    <col min="25" max="25" width="8.7109375" style="1441"/>
    <col min="26" max="26" width="9.85546875" style="1441" customWidth="1"/>
    <col min="27" max="36" width="8.7109375" style="1441"/>
    <col min="37" max="37" width="12.140625" style="1441" customWidth="1"/>
    <col min="38" max="38" width="11.5703125" style="1441" customWidth="1"/>
    <col min="39" max="51" width="8.7109375" style="1441"/>
    <col min="52" max="53" width="10.5703125" style="1441" customWidth="1"/>
    <col min="54" max="54" width="8.7109375" style="1441"/>
    <col min="55" max="55" width="9.7109375" style="1441" customWidth="1"/>
    <col min="56" max="56" width="8.7109375" style="1441"/>
    <col min="57" max="57" width="9.85546875" style="1441" customWidth="1"/>
    <col min="58" max="64" width="8.7109375" style="1441"/>
    <col min="65" max="65" width="11.140625" style="1441" customWidth="1"/>
    <col min="66" max="16384" width="8.7109375" style="1441"/>
  </cols>
  <sheetData>
    <row r="1" spans="1:68" s="370" customFormat="1" x14ac:dyDescent="0.25">
      <c r="A1" s="1606"/>
      <c r="B1" s="1606"/>
      <c r="C1" s="1607"/>
      <c r="D1" s="1608"/>
      <c r="E1" s="1608"/>
      <c r="F1" s="1608"/>
      <c r="G1" s="1608"/>
      <c r="H1" s="1609" t="s">
        <v>1871</v>
      </c>
      <c r="I1" s="1609" t="s">
        <v>1871</v>
      </c>
      <c r="J1" s="1608"/>
      <c r="K1" s="1608"/>
      <c r="L1" s="1608"/>
      <c r="M1" s="1608"/>
      <c r="N1" s="1608"/>
      <c r="O1" s="1608"/>
      <c r="P1" s="1608"/>
      <c r="Q1" s="1608"/>
      <c r="R1" s="1609" t="s">
        <v>1872</v>
      </c>
      <c r="S1" s="1609" t="s">
        <v>1872</v>
      </c>
      <c r="T1" s="1608"/>
      <c r="U1" s="1608"/>
      <c r="V1" s="1608"/>
      <c r="W1" s="1608"/>
      <c r="X1" s="1608"/>
      <c r="Y1" s="1608"/>
      <c r="Z1" s="1608"/>
      <c r="AA1" s="1608"/>
      <c r="AB1" s="1608"/>
      <c r="AC1" s="1608"/>
      <c r="AD1" s="1608"/>
      <c r="AE1" s="1608"/>
      <c r="AF1" s="1608"/>
      <c r="AG1" s="1608"/>
      <c r="AH1" s="1608"/>
      <c r="AI1" s="1608"/>
      <c r="AJ1" s="1610" t="s">
        <v>1581</v>
      </c>
      <c r="AK1" s="1608"/>
      <c r="AL1" s="1608"/>
      <c r="AM1" s="1608"/>
      <c r="AN1" s="1608"/>
      <c r="AO1" s="1608"/>
      <c r="AP1" s="1608"/>
      <c r="AQ1" s="1608"/>
      <c r="AR1" s="1608"/>
      <c r="AS1" s="1608"/>
      <c r="AT1" s="1608"/>
      <c r="AU1" s="1608"/>
      <c r="AV1" s="1608"/>
      <c r="AW1" s="1608"/>
      <c r="AX1" s="1608"/>
      <c r="AY1" s="1608"/>
      <c r="AZ1" s="1608"/>
      <c r="BA1" s="1608"/>
      <c r="BB1" s="1608"/>
      <c r="BC1" s="1608"/>
      <c r="BD1" s="1608"/>
      <c r="BE1" s="1608"/>
      <c r="BF1" s="1608"/>
      <c r="BG1" s="1608"/>
      <c r="BH1" s="1608"/>
      <c r="BI1" s="1608"/>
      <c r="BJ1" s="1608"/>
      <c r="BK1" s="1608"/>
      <c r="BL1" s="1608"/>
      <c r="BM1" s="1608"/>
      <c r="BN1" s="1608"/>
      <c r="BO1" s="1608"/>
      <c r="BP1" s="1608"/>
    </row>
    <row r="2" spans="1:68" x14ac:dyDescent="0.25">
      <c r="A2" s="274"/>
      <c r="B2" s="274"/>
      <c r="C2" s="276"/>
      <c r="D2" s="275"/>
      <c r="E2" s="275"/>
      <c r="F2" s="275"/>
      <c r="G2" s="275"/>
      <c r="H2" s="1605" t="s">
        <v>1871</v>
      </c>
      <c r="I2" s="1605" t="s">
        <v>1871</v>
      </c>
      <c r="J2" s="275"/>
      <c r="K2" s="276"/>
      <c r="L2" s="275"/>
      <c r="M2" s="275"/>
      <c r="N2" s="275"/>
      <c r="O2" s="275"/>
      <c r="P2" s="275"/>
      <c r="Q2" s="275"/>
      <c r="R2" s="275" t="s">
        <v>1872</v>
      </c>
      <c r="S2" s="275" t="s">
        <v>1872</v>
      </c>
      <c r="T2" s="275"/>
      <c r="U2" s="275"/>
      <c r="V2" s="275"/>
      <c r="W2" s="275"/>
      <c r="X2" s="275"/>
      <c r="Y2" s="275"/>
      <c r="Z2" s="276"/>
      <c r="AA2" s="275"/>
      <c r="AB2" s="275"/>
      <c r="AC2" s="275"/>
      <c r="AD2" s="275" t="s">
        <v>689</v>
      </c>
      <c r="AE2" s="275"/>
      <c r="AF2" s="276"/>
      <c r="AG2" s="275"/>
      <c r="AH2" s="275"/>
      <c r="AI2" s="275"/>
      <c r="AJ2" s="276"/>
      <c r="AK2" s="275"/>
      <c r="AL2" s="276"/>
      <c r="AM2" s="275"/>
      <c r="AN2" s="275"/>
      <c r="AO2" s="275"/>
      <c r="AP2" s="275"/>
      <c r="AQ2" s="275"/>
      <c r="AR2" s="275"/>
      <c r="AS2" s="275"/>
      <c r="AT2" s="275"/>
      <c r="AU2" s="275"/>
      <c r="AV2" s="275"/>
      <c r="AW2" s="275"/>
      <c r="AX2" s="275"/>
      <c r="AY2" s="275"/>
      <c r="AZ2" s="276"/>
      <c r="BA2" s="931"/>
      <c r="BB2" s="276"/>
      <c r="BC2" s="275"/>
      <c r="BD2" s="276"/>
      <c r="BE2" s="931"/>
      <c r="BF2" s="275"/>
      <c r="BG2" s="275"/>
      <c r="BH2" s="275"/>
      <c r="BI2" s="275"/>
      <c r="BJ2" s="275"/>
      <c r="BK2" s="275"/>
      <c r="BL2" s="275"/>
      <c r="BM2" s="275"/>
      <c r="BN2" s="275"/>
      <c r="BO2" s="275"/>
      <c r="BP2" s="275"/>
    </row>
    <row r="3" spans="1:68" ht="15.75" thickBot="1" x14ac:dyDescent="0.3">
      <c r="A3" s="274"/>
      <c r="B3" s="274"/>
      <c r="C3" s="274"/>
      <c r="D3" s="274"/>
      <c r="E3" s="274"/>
      <c r="F3" s="277"/>
      <c r="G3" s="274"/>
      <c r="H3" s="274"/>
      <c r="I3" s="274"/>
      <c r="J3" s="276"/>
      <c r="K3" s="276"/>
      <c r="L3" s="276"/>
      <c r="M3" s="276"/>
      <c r="N3" s="276"/>
      <c r="O3" s="276"/>
      <c r="P3" s="276"/>
      <c r="Q3" s="276"/>
      <c r="R3" s="274"/>
      <c r="S3" s="274"/>
      <c r="T3" s="274"/>
      <c r="U3" s="274"/>
      <c r="V3" s="274"/>
      <c r="W3" s="274"/>
      <c r="X3" s="274"/>
      <c r="Y3" s="274"/>
      <c r="Z3" s="274"/>
      <c r="AA3" s="277"/>
      <c r="AB3" s="277"/>
      <c r="AC3" s="277"/>
      <c r="AD3" s="277" t="s">
        <v>689</v>
      </c>
      <c r="AE3" s="277"/>
      <c r="AF3" s="276"/>
      <c r="AG3" s="277"/>
      <c r="AH3" s="277"/>
      <c r="AI3" s="277"/>
      <c r="AJ3" s="276"/>
      <c r="AK3" s="276"/>
      <c r="AL3" s="276"/>
      <c r="AM3" s="277"/>
      <c r="AN3" s="277"/>
      <c r="AO3" s="277"/>
      <c r="AP3" s="277"/>
      <c r="AQ3" s="277"/>
      <c r="AR3" s="277"/>
      <c r="AS3" s="277"/>
      <c r="AT3" s="277"/>
      <c r="AU3" s="277"/>
      <c r="AV3" s="277"/>
      <c r="AW3" s="277"/>
      <c r="AX3" s="277"/>
      <c r="AY3" s="277"/>
      <c r="AZ3" s="276"/>
      <c r="BA3" s="276"/>
      <c r="BB3" s="276"/>
      <c r="BC3" s="276"/>
      <c r="BD3" s="276"/>
      <c r="BE3" s="276"/>
      <c r="BF3" s="276"/>
      <c r="BG3" s="276"/>
      <c r="BH3" s="276"/>
      <c r="BI3" s="276"/>
      <c r="BJ3" s="276"/>
      <c r="BK3" s="276"/>
      <c r="BL3" s="276"/>
      <c r="BM3" s="276"/>
      <c r="BN3" s="277"/>
      <c r="BO3" s="277"/>
    </row>
    <row r="4" spans="1:68" ht="15" customHeight="1" thickBot="1" x14ac:dyDescent="0.3">
      <c r="A4" s="274"/>
      <c r="B4" s="274"/>
      <c r="C4" s="274"/>
      <c r="D4" s="274">
        <v>0</v>
      </c>
      <c r="E4" s="278">
        <v>1</v>
      </c>
      <c r="F4" s="279" t="s">
        <v>89</v>
      </c>
      <c r="G4" s="280" t="s">
        <v>690</v>
      </c>
      <c r="H4" s="278">
        <v>14</v>
      </c>
      <c r="I4" s="278" t="s">
        <v>1572</v>
      </c>
      <c r="J4" s="281">
        <v>35</v>
      </c>
      <c r="K4" s="282"/>
      <c r="L4" s="281" t="s">
        <v>691</v>
      </c>
      <c r="M4" s="281">
        <v>32</v>
      </c>
      <c r="N4" s="283" t="s">
        <v>692</v>
      </c>
      <c r="O4" s="283" t="s">
        <v>693</v>
      </c>
      <c r="P4" s="281">
        <v>33</v>
      </c>
      <c r="Q4" s="284">
        <v>34</v>
      </c>
      <c r="R4" s="278">
        <v>15</v>
      </c>
      <c r="S4" s="278" t="s">
        <v>1573</v>
      </c>
      <c r="T4" s="278">
        <v>2</v>
      </c>
      <c r="U4" s="278">
        <v>3</v>
      </c>
      <c r="V4" s="278" t="s">
        <v>694</v>
      </c>
      <c r="W4" s="278">
        <v>4</v>
      </c>
      <c r="X4" s="278">
        <v>5</v>
      </c>
      <c r="Y4" s="278">
        <v>6</v>
      </c>
      <c r="Z4" s="285" t="s">
        <v>695</v>
      </c>
      <c r="AA4" s="286" t="s">
        <v>696</v>
      </c>
      <c r="AB4" s="286">
        <v>7</v>
      </c>
      <c r="AC4" s="286">
        <v>8</v>
      </c>
      <c r="AD4" s="1611">
        <v>9</v>
      </c>
      <c r="AE4" s="1612">
        <v>10</v>
      </c>
      <c r="AF4" s="287"/>
      <c r="AG4" s="288">
        <v>12</v>
      </c>
      <c r="AH4" s="289">
        <v>13</v>
      </c>
      <c r="AI4" s="289">
        <v>16</v>
      </c>
      <c r="AJ4" s="289">
        <v>17</v>
      </c>
      <c r="AK4" s="290">
        <v>18</v>
      </c>
      <c r="AL4" s="291"/>
      <c r="AM4" s="292">
        <v>19</v>
      </c>
      <c r="AN4" s="292">
        <v>20</v>
      </c>
      <c r="AO4" s="292">
        <v>21</v>
      </c>
      <c r="AP4" s="292">
        <v>22</v>
      </c>
      <c r="AQ4" s="292">
        <v>23</v>
      </c>
      <c r="AR4" s="292">
        <v>24</v>
      </c>
      <c r="AS4" s="292">
        <v>25</v>
      </c>
      <c r="AT4" s="292">
        <v>26</v>
      </c>
      <c r="AU4" s="292">
        <v>27</v>
      </c>
      <c r="AV4" s="292">
        <v>28</v>
      </c>
      <c r="AW4" s="292">
        <v>29</v>
      </c>
      <c r="AX4" s="292">
        <v>30</v>
      </c>
      <c r="AY4" s="1364">
        <v>31</v>
      </c>
      <c r="AZ4" s="293"/>
      <c r="BA4" s="294" t="s">
        <v>697</v>
      </c>
      <c r="BB4" s="295">
        <v>36</v>
      </c>
      <c r="BC4" s="295" t="s">
        <v>698</v>
      </c>
      <c r="BD4" s="295">
        <v>37</v>
      </c>
      <c r="BE4" s="295" t="s">
        <v>699</v>
      </c>
      <c r="BF4" s="295">
        <v>38</v>
      </c>
      <c r="BG4" s="295">
        <v>39</v>
      </c>
      <c r="BH4" s="295">
        <v>40</v>
      </c>
      <c r="BI4" s="295">
        <v>41</v>
      </c>
      <c r="BJ4" s="295">
        <v>42</v>
      </c>
      <c r="BK4" s="295">
        <v>43</v>
      </c>
      <c r="BL4" s="295">
        <v>44</v>
      </c>
      <c r="BM4" s="295">
        <v>45</v>
      </c>
      <c r="BN4" s="296">
        <v>46</v>
      </c>
      <c r="BO4" s="371">
        <v>47</v>
      </c>
      <c r="BP4" s="371">
        <v>48</v>
      </c>
    </row>
    <row r="5" spans="1:68" s="370" customFormat="1" ht="15" customHeight="1" thickBot="1" x14ac:dyDescent="0.3">
      <c r="A5" s="355" t="s">
        <v>700</v>
      </c>
      <c r="B5" s="355" t="s">
        <v>701</v>
      </c>
      <c r="C5" s="355" t="s">
        <v>621</v>
      </c>
      <c r="D5" s="355" t="s">
        <v>1256</v>
      </c>
      <c r="E5" s="355" t="s">
        <v>360</v>
      </c>
      <c r="F5" s="356" t="s">
        <v>385</v>
      </c>
      <c r="G5" s="357" t="s">
        <v>1582</v>
      </c>
      <c r="H5" s="355" t="str">
        <f>Валідація!C42</f>
        <v>Фінансовий результат без амортизації
Доходи без доходів від амортизації - витрати (таблиця 5 виробнича собівартість готової продукції та товарів + витрати таблиця 5.1. без амортизації) &gt;= 0</v>
      </c>
      <c r="I5" s="358" t="str">
        <f>Валідація!C44</f>
        <v xml:space="preserve">Покриття витрат без амортизації
Доходи без доходів від амортизації з авансами ПМГ - витрати (таблиця 5 виробнича собівартість готової продукції та товарів + витрати таблиця 5.1. без амортизації) &gt;= 0  </v>
      </c>
      <c r="J5" s="358" t="str">
        <f>Валідація!C76</f>
        <v xml:space="preserve">1. Перевірка даних СдП та СдК в частині  залишків з запасів, що отримані з бюджету або як благодійна допомога  таблиці 10 із відповідними даними Балансу
2. Запаси, що отримані з бюджету або як благодійна допомога (СдП+придбання ТМЦ-витрати ТМЦ=СдК) </v>
      </c>
      <c r="K5" s="359" t="s">
        <v>702</v>
      </c>
      <c r="L5" s="356" t="str">
        <f>Валідація!C58</f>
        <v>Амортизація (таблиця 6 п. 6.5) - (таблиця 4 + таблиця 13 р.13.2) &gt;=0, то ПРАВДА</v>
      </c>
      <c r="M5" s="355" t="str">
        <f>Валідація!C68</f>
        <v>Розрахунок Кт 69
Кт 69  (дохід майбутніх періодів з проведень  Дт ЦФ10-Кт ЦФ15) = 69СдК -69СдП+69Дт (або АММ 745(69))+передача ОЗ (ЦФ)
якщо є  69СдП, то має бути  АММ 745 (69) і 69 Кт &gt;=0 
УВАГА!!!  заповніть дохід від амортизації   АММ 745 (69)  від цільового фінансування ( Дт 69 Кт 745)  в таблиці 4  р. 4.3.1. гр. 5</v>
      </c>
      <c r="N5" s="360" t="str">
        <f>Валідація!C59</f>
        <v>Доходи таблиця 4 р. 4.3.1 - якщо значення менше 50 грн., але більше 0 - то помилка. Неопераційний дохід, від амортизації по НА та ОЗ, що отримані як цільове фінансування  (Дт 69 Кт 745)</v>
      </c>
      <c r="O5" s="360" t="str">
        <f>Валідація!C61</f>
        <v>Доходи табл 4 р. 4.3.2 - якщо значення менше 50 грн., але більше 0 - то помилка. Неопераційний дохід від амортизації  по НА та ОЗ, що отримані безоплатно (Дт 424 Кт 745)</v>
      </c>
      <c r="P5" s="355" t="str">
        <f>Валідація!C71</f>
        <v>48 Дт = 48СдП-48СдК+48 Кт
48 Кт = цільове фінансування (надходження) - 424 Кт + ЗБЦФ Заборгованість бюджету з цільового фінансування (Дт 37 ЗБЦФ Кт 48)   - ПЗБЦФ Погашення заборгованості бюджету з цільового фінансування (Дт 31 Кт 37 ПЗБЦФ) 
424 Кт = 424 СдК + АММ 745 (424)- передача ОЗ  -424 СдП  
УВАГА!!!І Якщо існують госп.операції з додатковим капиталом (крім землі),  заповніть  АММ 745(424) (Дт 424 Кт 745) в таблиці 4, р. 4.3.2. гр.5</v>
      </c>
      <c r="Q5" s="356" t="str">
        <f>Валідація!C73</f>
        <v>1. Цільовий інший операційний дохід (71 ЦФ) р. 4.2.1., гр. 5  таблиця 4 = розрахованому за формулою 71ЦФ=цільові витрати таблиця 5.1.р.1.1.гр.14
71 ЦФ  = 48 Дт - 69 Кт - Т12.1 передача ТМЦ   - Т12.1 А передача КАП - ПЦФБ Повернення цільового фінансування у бюджет (Д48 Кт31 ПЦФБ) 
2. Передача ТМЦ, що придбані (отримані) за кошти цільового фінансування (Дт 48 Кт 377) 
значення не може бути від’ємним!</v>
      </c>
      <c r="R5" s="355" t="str">
        <f>Валідація!C46</f>
        <v>Фінансовий результат
Доходи - витрати (таблиця 5 виробнича собівартість готової продукції та товарів + витрати таблиця 5.1. з амортизацією) &gt;= 0</v>
      </c>
      <c r="S5" s="355" t="str">
        <f>Валідація!C48</f>
        <v xml:space="preserve">Покриття витрат з амортизацією
Доходи +  аванси ПМГ + коригування прибутку з дооцінки  - витрати (таблиця 5 виробнича собівартість готової продукції та товарів + витрати таблиця 5.1. з амортизацією)) &gt;= 0  </v>
      </c>
      <c r="T5" s="355" t="s">
        <v>802</v>
      </c>
      <c r="U5" s="356" t="s">
        <v>1583</v>
      </c>
      <c r="V5" s="356" t="s">
        <v>1584</v>
      </c>
      <c r="W5" s="355" t="s">
        <v>777</v>
      </c>
      <c r="X5" s="355" t="s">
        <v>1585</v>
      </c>
      <c r="Y5" s="355" t="s">
        <v>352</v>
      </c>
      <c r="Z5" s="361" t="s">
        <v>703</v>
      </c>
      <c r="AA5" s="362" t="s">
        <v>817</v>
      </c>
      <c r="AB5" s="362" t="s">
        <v>1586</v>
      </c>
      <c r="AC5" s="362" t="s">
        <v>354</v>
      </c>
      <c r="AD5" s="363" t="s">
        <v>1873</v>
      </c>
      <c r="AE5" s="1613" t="s">
        <v>1668</v>
      </c>
      <c r="AF5" s="361" t="s">
        <v>704</v>
      </c>
      <c r="AG5" s="364" t="s">
        <v>356</v>
      </c>
      <c r="AH5" s="362" t="s">
        <v>1587</v>
      </c>
      <c r="AI5" s="355" t="s">
        <v>767</v>
      </c>
      <c r="AJ5" s="355" t="s">
        <v>358</v>
      </c>
      <c r="AK5" s="365" t="s">
        <v>1588</v>
      </c>
      <c r="AL5" s="366" t="s">
        <v>705</v>
      </c>
      <c r="AM5" s="355" t="s">
        <v>370</v>
      </c>
      <c r="AN5" s="355"/>
      <c r="AO5" s="355"/>
      <c r="AP5" s="355"/>
      <c r="AQ5" s="355" t="s">
        <v>368</v>
      </c>
      <c r="AR5" s="355" t="s">
        <v>820</v>
      </c>
      <c r="AS5" s="355" t="s">
        <v>821</v>
      </c>
      <c r="AT5" s="355" t="s">
        <v>374</v>
      </c>
      <c r="AU5" s="355" t="s">
        <v>383</v>
      </c>
      <c r="AV5" s="355" t="s">
        <v>384</v>
      </c>
      <c r="AW5" s="355" t="s">
        <v>822</v>
      </c>
      <c r="AX5" s="355" t="s">
        <v>823</v>
      </c>
      <c r="AY5" s="1365" t="str">
        <f>Валідація!C141</f>
        <v>таблиця 8
Має бути заповнена  гр. 12 таблиці про кількість відпрацьованих людино-годин
Cпіввідношення штатних працівників до загальної кількості не менше 80%</v>
      </c>
      <c r="AZ5" s="366" t="s">
        <v>706</v>
      </c>
      <c r="BA5" s="367" t="s">
        <v>1589</v>
      </c>
      <c r="BB5" s="355" t="s">
        <v>644</v>
      </c>
      <c r="BC5" s="355" t="s">
        <v>646</v>
      </c>
      <c r="BD5" s="355" t="s">
        <v>591</v>
      </c>
      <c r="BE5" s="368" t="s">
        <v>650</v>
      </c>
      <c r="BF5" s="368" t="s">
        <v>653</v>
      </c>
      <c r="BG5" s="368" t="s">
        <v>656</v>
      </c>
      <c r="BH5" s="368" t="s">
        <v>1839</v>
      </c>
      <c r="BI5" s="368" t="s">
        <v>662</v>
      </c>
      <c r="BJ5" s="368" t="s">
        <v>665</v>
      </c>
      <c r="BK5" s="368" t="s">
        <v>668</v>
      </c>
      <c r="BL5" s="368" t="s">
        <v>671</v>
      </c>
      <c r="BM5" s="368" t="s">
        <v>674</v>
      </c>
      <c r="BN5" s="369" t="s">
        <v>677</v>
      </c>
      <c r="BO5" s="372" t="s">
        <v>744</v>
      </c>
      <c r="BP5" s="372" t="s">
        <v>1612</v>
      </c>
    </row>
    <row r="6" spans="1:68" ht="15" customHeight="1" thickBot="1" x14ac:dyDescent="0.3">
      <c r="A6" s="274"/>
      <c r="B6" s="274"/>
      <c r="C6" s="274"/>
      <c r="D6" s="274">
        <v>0</v>
      </c>
      <c r="E6" s="298">
        <v>1</v>
      </c>
      <c r="F6" s="299">
        <v>2</v>
      </c>
      <c r="G6" s="299">
        <v>3</v>
      </c>
      <c r="H6" s="300">
        <v>4</v>
      </c>
      <c r="I6" s="300"/>
      <c r="J6" s="299">
        <v>5</v>
      </c>
      <c r="K6" s="301"/>
      <c r="L6" s="302">
        <v>6</v>
      </c>
      <c r="M6" s="302">
        <v>7</v>
      </c>
      <c r="N6" s="303" t="s">
        <v>707</v>
      </c>
      <c r="O6" s="303" t="s">
        <v>708</v>
      </c>
      <c r="P6" s="302">
        <v>8</v>
      </c>
      <c r="Q6" s="302">
        <v>9</v>
      </c>
      <c r="R6" s="298">
        <v>10</v>
      </c>
      <c r="S6" s="298"/>
      <c r="T6" s="298">
        <v>11</v>
      </c>
      <c r="U6" s="298">
        <v>12</v>
      </c>
      <c r="V6" s="298">
        <v>13</v>
      </c>
      <c r="W6" s="298">
        <v>14</v>
      </c>
      <c r="X6" s="298">
        <v>15</v>
      </c>
      <c r="Y6" s="298">
        <v>16</v>
      </c>
      <c r="Z6" s="304"/>
      <c r="AA6" s="302">
        <v>17</v>
      </c>
      <c r="AB6" s="298">
        <v>18</v>
      </c>
      <c r="AC6" s="298">
        <v>19</v>
      </c>
      <c r="AD6" s="305">
        <v>21</v>
      </c>
      <c r="AE6" s="298" t="s">
        <v>1666</v>
      </c>
      <c r="AF6" s="297"/>
      <c r="AG6" s="306">
        <v>22</v>
      </c>
      <c r="AH6" s="298">
        <v>23</v>
      </c>
      <c r="AI6" s="302">
        <v>24</v>
      </c>
      <c r="AJ6" s="302">
        <v>25</v>
      </c>
      <c r="AK6" s="305">
        <v>26</v>
      </c>
      <c r="AL6" s="304">
        <v>27</v>
      </c>
      <c r="AM6" s="302"/>
      <c r="AN6" s="302"/>
      <c r="AO6" s="302"/>
      <c r="AP6" s="302"/>
      <c r="AQ6" s="302"/>
      <c r="AR6" s="302"/>
      <c r="AS6" s="302"/>
      <c r="AT6" s="302"/>
      <c r="AU6" s="302"/>
      <c r="AV6" s="302"/>
      <c r="AW6" s="302"/>
      <c r="AX6" s="302"/>
      <c r="AY6" s="1366"/>
      <c r="AZ6" s="304">
        <v>28</v>
      </c>
      <c r="BA6" s="307"/>
      <c r="BB6" s="308"/>
      <c r="BC6" s="309"/>
      <c r="BD6" s="308"/>
      <c r="BE6" s="310"/>
      <c r="BF6" s="310"/>
      <c r="BG6" s="310"/>
      <c r="BH6" s="310"/>
      <c r="BI6" s="310"/>
      <c r="BJ6" s="310"/>
      <c r="BK6" s="310"/>
      <c r="BL6" s="310"/>
      <c r="BM6" s="310"/>
      <c r="BN6" s="311"/>
      <c r="BO6" s="311"/>
      <c r="BP6" s="311"/>
    </row>
    <row r="7" spans="1:68" x14ac:dyDescent="0.25">
      <c r="A7" s="274"/>
      <c r="B7" s="274"/>
      <c r="C7" s="274"/>
      <c r="D7" s="312" t="str">
        <f>Валідація!F5</f>
        <v>ПРАВДА</v>
      </c>
      <c r="E7" s="312" t="str">
        <f>Валідація!F6</f>
        <v>ПРАВДА</v>
      </c>
      <c r="F7" s="312" t="str">
        <f>Валідація!F8</f>
        <v>ПРАВДА</v>
      </c>
      <c r="G7" s="312" t="str">
        <f>Валідація!F16</f>
        <v>ПРАВДА</v>
      </c>
      <c r="H7" s="312" t="str">
        <f>Валідація!F42</f>
        <v>Увага</v>
      </c>
      <c r="I7" s="312" t="str">
        <f>Валідація!F44</f>
        <v>Увага</v>
      </c>
      <c r="J7" s="312" t="str">
        <f>Валідація!F76</f>
        <v>ПРАВДА</v>
      </c>
      <c r="K7" s="312" t="str">
        <f>IF(AND(J7="ПРАВДА",L7="ПРАВДА",M7="ПРАВДА",N7="ПРАВДА",O7="ПРАВДА",P7="ПРАВДА",Q7="ПРАВДА"),"ПРАВДА","ПОМИЛКА")</f>
        <v>ПРАВДА</v>
      </c>
      <c r="L7" s="312" t="str">
        <f>Валідація!F58</f>
        <v>ПРАВДА</v>
      </c>
      <c r="M7" s="312" t="str">
        <f>Валідація!F68</f>
        <v>ПРАВДА</v>
      </c>
      <c r="N7" s="312" t="str">
        <f>Валідація!F59</f>
        <v>ПРАВДА</v>
      </c>
      <c r="O7" s="312" t="str">
        <f>Валідація!F61</f>
        <v>ПРАВДА</v>
      </c>
      <c r="P7" s="312" t="str">
        <f>Валідація!F71</f>
        <v>ПРАВДА</v>
      </c>
      <c r="Q7" s="312" t="str">
        <f>Валідація!F73</f>
        <v>ПРАВДА</v>
      </c>
      <c r="R7" s="312" t="str">
        <f>Валідація!F46</f>
        <v>Увага</v>
      </c>
      <c r="S7" s="312" t="str">
        <f>Валідація!F48</f>
        <v>Увага</v>
      </c>
      <c r="T7" s="312" t="str">
        <f>Валідація!F9</f>
        <v>ПРАВДА</v>
      </c>
      <c r="U7" s="312" t="str">
        <f>Валідація!F11</f>
        <v>ПРАВДА</v>
      </c>
      <c r="V7" s="312" t="str">
        <f>Валідація!F14</f>
        <v>ПРАВДА</v>
      </c>
      <c r="W7" s="312" t="str">
        <f>Валідація!F17</f>
        <v>ПРАВДА</v>
      </c>
      <c r="X7" s="312" t="str">
        <f>Валідація!F19</f>
        <v>ПРАВДА</v>
      </c>
      <c r="Y7" s="312" t="str">
        <f>Валідація!F21</f>
        <v>ПРАВДА</v>
      </c>
      <c r="Z7" s="274" t="str">
        <f>IF(AND(AA7="ПРАВДА",AB7="ПРАВДА",AC7="ПРАВДА",AD7="ПРАВДА",AE7="ПРАВДА"),"ПРАВДА",IF(AND(AA7="ПРАВДА",AB7="ПРАВДА",AC7="ПРАВДА",AD7="Увага",AE7="ПРАВДА"),"Увага","ПОМИЛКА"))</f>
        <v>ПРАВДА</v>
      </c>
      <c r="AA7" s="274" t="str">
        <f>Валідація!F25</f>
        <v>ПРАВДА</v>
      </c>
      <c r="AB7" s="312" t="str">
        <f>Валідація!F26</f>
        <v>ПРАВДА</v>
      </c>
      <c r="AC7" s="312" t="str">
        <f>Валідація!F28</f>
        <v>ПРАВДА</v>
      </c>
      <c r="AD7" s="312" t="str">
        <f>Валідація!F31</f>
        <v>ПРАВДА</v>
      </c>
      <c r="AE7" s="312" t="str">
        <f>Валідація!F33</f>
        <v>ПРАВДА</v>
      </c>
      <c r="AF7" s="312" t="str">
        <f>IF(AND(AG7="ПРАВДА",AH7="ПРАВДА",AI7="ПРАВДА",AJ7="ПРАВДА"),"ПРАВДА",IF(AND(AG7="ПРАВДА",AH7="ПРАВДА",AI7="ПРАВДА"),"Увага","Помилка"))</f>
        <v>ПРАВДА</v>
      </c>
      <c r="AG7" s="312" t="str">
        <f>Валідація!F37</f>
        <v>ПРАВДА</v>
      </c>
      <c r="AH7" s="312" t="str">
        <f>Валідація!F40</f>
        <v>ПРАВДА</v>
      </c>
      <c r="AI7" s="312" t="str">
        <f>Валідація!F50</f>
        <v>ПРАВДА</v>
      </c>
      <c r="AJ7" s="312" t="str">
        <f>Валідація!F53</f>
        <v>ПРАВДА</v>
      </c>
      <c r="AK7" s="312" t="str">
        <f>Валідація!F55</f>
        <v>ПРАВДА</v>
      </c>
      <c r="AL7" s="274" t="str">
        <f>IF(AND(AM7="ПРАВДА",AN7="ПРАВДА",AO7="ПРАВДА",AP7="ПРАВДА",AQ7="ПРАВДА",AR7="ПРАВДА",AS7="ПРАВДА",AT7="ПРАВДА",AU7="ПРАВДА",AV7="ПРАВДА",AW7="ПРАВДА",AX7="ПРАВДА",AY7="правда"),"ПРАВДА","ПОМИЛКА")</f>
        <v>ПРАВДА</v>
      </c>
      <c r="AM7" s="312" t="str">
        <f>Валідація!F116</f>
        <v>ПРАВДА</v>
      </c>
      <c r="AN7" s="312" t="str">
        <f>Валідація!F118</f>
        <v>ПРАВДА</v>
      </c>
      <c r="AO7" s="312" t="str">
        <f>Валідація!F120</f>
        <v>ПРАВДА</v>
      </c>
      <c r="AP7" s="312" t="str">
        <f>Валідація!F122</f>
        <v>ПРАВДА</v>
      </c>
      <c r="AQ7" s="312" t="str">
        <f>Валідація!F124</f>
        <v>ПРАВДА</v>
      </c>
      <c r="AR7" s="312" t="str">
        <f>Валідація!F126</f>
        <v>ПРАВДА</v>
      </c>
      <c r="AS7" s="312" t="str">
        <f>Валідація!F128</f>
        <v>ПРАВДА</v>
      </c>
      <c r="AT7" s="312" t="str">
        <f>Валідація!F130</f>
        <v>ПРАВДА</v>
      </c>
      <c r="AU7" s="312" t="str">
        <f>Валідація!F132</f>
        <v>ПРАВДА</v>
      </c>
      <c r="AV7" s="312" t="str">
        <f>Валідація!F134</f>
        <v>ПРАВДА</v>
      </c>
      <c r="AW7" s="312" t="str">
        <f>Валідація!F136</f>
        <v>ПРАВДА</v>
      </c>
      <c r="AX7" s="312" t="str">
        <f>Валідація!F138</f>
        <v>ПРАВДА</v>
      </c>
      <c r="AY7" s="312" t="str">
        <f>Валідація!F141</f>
        <v>ПРАВДА</v>
      </c>
      <c r="AZ7" s="274" t="str">
        <f>IF(AND(BA7="ПРАВДА",BB7="ПРАВДА",BC7="ПРАВДА",BD7="ПРАВДА",BE7="ПРАВДА",BF7="ПРАВДА",BG7="ПРАВДА",BH7="ПРАВДА",BI7="ПРАВДА",BJ7="ПРАВДА",BK7="ПРАВДА",BL7="ПРАВДА",BM7="ПРАВДА",BN7="ПРАВДА",BO7="ПРАВДА",BP7="ПРАВДА"),"ПРАВДА",IF(AND(BA7="ПРАВДА",BC7="ПРАВДА",BE7="ПРАВДА",BF7="ПРАВДА",BG7="ПРАВДА",BH7="ПРАВДА",BI7="ПРАВДА",BJ7="ПРАВДА",BK7="ПРАВДА",BL7="ПРАВДА",BM7="ПРАВДА",BN7="ПРАВДА",BO7="ПРАВДА",BP7="ПРАВДА"),"Синя",IF(AND(BN7="ПРАВДА",BO7="ПРАВДА"),"Синя",IF(AND(BN7="ПРАВДА",BO7="ПРАВДА"),"Жовта","ПОМИЛКА"))))</f>
        <v>Синя</v>
      </c>
      <c r="BA7" s="312" t="str">
        <f>Валідація!F64</f>
        <v>ПРАВДА</v>
      </c>
      <c r="BB7" s="312" t="str">
        <f>Валідація!F80</f>
        <v>ПРАВДА</v>
      </c>
      <c r="BC7" s="312" t="str">
        <f>Валідація!F83</f>
        <v>ПРАВДА</v>
      </c>
      <c r="BD7" s="312" t="str">
        <f>Валідація!F85</f>
        <v>ПРАВДА</v>
      </c>
      <c r="BE7" s="312" t="str">
        <f>Валідація!F88</f>
        <v>ПРАВДА</v>
      </c>
      <c r="BF7" s="312" t="str">
        <f>Валідація!F91</f>
        <v>ПРАВДА</v>
      </c>
      <c r="BG7" s="312" t="str">
        <f>Валідація!F94</f>
        <v>ПРАВДА</v>
      </c>
      <c r="BH7" s="312" t="str">
        <f>Валідація!F96</f>
        <v>Увага</v>
      </c>
      <c r="BI7" s="312" t="str">
        <f>Валідація!F98</f>
        <v>ПРАВДА</v>
      </c>
      <c r="BJ7" s="312" t="str">
        <f>Валідація!F100</f>
        <v>ПРАВДА</v>
      </c>
      <c r="BK7" s="312" t="str">
        <f>Валідація!F102</f>
        <v>ПРАВДА</v>
      </c>
      <c r="BL7" s="312" t="str">
        <f>Валідація!F104</f>
        <v>ПРАВДА</v>
      </c>
      <c r="BM7" s="312" t="str">
        <f>Валідація!F106</f>
        <v>ПРАВДА</v>
      </c>
      <c r="BN7" s="312" t="str">
        <f>Валідація!F108</f>
        <v>ПРАВДА</v>
      </c>
      <c r="BO7" s="312" t="str">
        <f>Валідація!F110</f>
        <v>ПРАВДА</v>
      </c>
      <c r="BP7" s="312" t="str">
        <f>Валідація!F112</f>
        <v>ПРАВДА</v>
      </c>
    </row>
    <row r="8" spans="1:68" ht="14.45" customHeight="1" x14ac:dyDescent="0.25">
      <c r="A8" s="274" t="str">
        <f>IF(LEN('Звіт 1,2,3'!D1)=6,"00"&amp;'Звіт 1,2,3'!D1,IF(LEN('Звіт 1,2,3'!D1)=7,"0"&amp;'Звіт 1,2,3'!D1,'Звіт 1,2,3'!D1))</f>
        <v>02006707</v>
      </c>
      <c r="C8" s="274" t="str">
        <f>IF(B9="Зелена","Зелена",IF(C9="Синя","Синя",IF(D9="Жовта","Жовта","Червона")))</f>
        <v>Синя</v>
      </c>
      <c r="D8" s="274">
        <f t="shared" ref="D8:V8" si="0">IF(D7="ПРАВДА",1,0)</f>
        <v>1</v>
      </c>
      <c r="E8" s="274">
        <f t="shared" si="0"/>
        <v>1</v>
      </c>
      <c r="F8" s="274">
        <f t="shared" si="0"/>
        <v>1</v>
      </c>
      <c r="G8" s="274">
        <f t="shared" si="0"/>
        <v>1</v>
      </c>
      <c r="H8" s="274">
        <f>IF(OR(H7="ПРАВДА",H7="Увага"),1,0)</f>
        <v>1</v>
      </c>
      <c r="I8" s="274">
        <f>IF(OR(I7="ПРАВДА",I7="Увага"),1,0)</f>
        <v>1</v>
      </c>
      <c r="J8" s="274">
        <f t="shared" si="0"/>
        <v>1</v>
      </c>
      <c r="K8" s="274">
        <f t="shared" si="0"/>
        <v>1</v>
      </c>
      <c r="L8" s="274">
        <f t="shared" si="0"/>
        <v>1</v>
      </c>
      <c r="M8" s="274">
        <f t="shared" si="0"/>
        <v>1</v>
      </c>
      <c r="N8" s="274">
        <f t="shared" si="0"/>
        <v>1</v>
      </c>
      <c r="O8" s="274">
        <f t="shared" si="0"/>
        <v>1</v>
      </c>
      <c r="P8" s="274">
        <f t="shared" si="0"/>
        <v>1</v>
      </c>
      <c r="Q8" s="274">
        <f t="shared" si="0"/>
        <v>1</v>
      </c>
      <c r="R8" s="274">
        <f>IF(OR(R7="ПРАВДА",R7="Увага"),1,0)</f>
        <v>1</v>
      </c>
      <c r="S8" s="274">
        <f>IF(OR(S7="ПРАВДА",S7="Увага"),1,0)</f>
        <v>1</v>
      </c>
      <c r="T8" s="274">
        <f t="shared" si="0"/>
        <v>1</v>
      </c>
      <c r="U8" s="274">
        <f t="shared" si="0"/>
        <v>1</v>
      </c>
      <c r="V8" s="274">
        <f t="shared" si="0"/>
        <v>1</v>
      </c>
      <c r="W8" s="274">
        <f>IF(W7="ПРАВДА",1,0)</f>
        <v>1</v>
      </c>
      <c r="X8" s="274">
        <f>IF(X7="ПРАВДА",1,0)</f>
        <v>1</v>
      </c>
      <c r="Y8" s="274">
        <f t="shared" ref="Y8:AE8" si="1">IF(Y7="ПРАВДА",1,0)</f>
        <v>1</v>
      </c>
      <c r="Z8" s="274">
        <f>IF(Z7="ПРАВДА",1,IF(Z7="Увага",0.5,0))</f>
        <v>1</v>
      </c>
      <c r="AA8" s="274">
        <f t="shared" si="1"/>
        <v>1</v>
      </c>
      <c r="AB8" s="274">
        <f t="shared" si="1"/>
        <v>1</v>
      </c>
      <c r="AC8" s="274">
        <f t="shared" si="1"/>
        <v>1</v>
      </c>
      <c r="AD8" s="274">
        <f>IF(AD7="ПРАВДА",1,IF(AD7="Увага",0.5,0))</f>
        <v>1</v>
      </c>
      <c r="AE8" s="274">
        <f t="shared" si="1"/>
        <v>1</v>
      </c>
      <c r="AF8" s="274">
        <f>IF(AF7="ПРАВДА",1,IF(AF7="Увага",0.5,0))</f>
        <v>1</v>
      </c>
      <c r="AG8" s="274">
        <f t="shared" ref="AG8:AX8" si="2">IF(AG7="ПРАВДА",1,0)</f>
        <v>1</v>
      </c>
      <c r="AH8" s="274">
        <f t="shared" si="2"/>
        <v>1</v>
      </c>
      <c r="AI8" s="274">
        <f t="shared" si="2"/>
        <v>1</v>
      </c>
      <c r="AJ8" s="274">
        <f t="shared" si="2"/>
        <v>1</v>
      </c>
      <c r="AK8" s="274">
        <f t="shared" si="2"/>
        <v>1</v>
      </c>
      <c r="AL8" s="274">
        <f t="shared" si="2"/>
        <v>1</v>
      </c>
      <c r="AM8" s="274">
        <f t="shared" si="2"/>
        <v>1</v>
      </c>
      <c r="AN8" s="274">
        <f t="shared" si="2"/>
        <v>1</v>
      </c>
      <c r="AO8" s="274">
        <f t="shared" si="2"/>
        <v>1</v>
      </c>
      <c r="AP8" s="274">
        <f t="shared" si="2"/>
        <v>1</v>
      </c>
      <c r="AQ8" s="274">
        <f t="shared" si="2"/>
        <v>1</v>
      </c>
      <c r="AR8" s="274">
        <f t="shared" si="2"/>
        <v>1</v>
      </c>
      <c r="AS8" s="274">
        <f t="shared" si="2"/>
        <v>1</v>
      </c>
      <c r="AT8" s="274">
        <f t="shared" si="2"/>
        <v>1</v>
      </c>
      <c r="AU8" s="274">
        <f t="shared" si="2"/>
        <v>1</v>
      </c>
      <c r="AV8" s="274">
        <f t="shared" si="2"/>
        <v>1</v>
      </c>
      <c r="AW8" s="274">
        <f t="shared" si="2"/>
        <v>1</v>
      </c>
      <c r="AX8" s="274">
        <f t="shared" si="2"/>
        <v>1</v>
      </c>
      <c r="AY8" s="274">
        <f>IF(AY7="правда",1,0)</f>
        <v>1</v>
      </c>
      <c r="AZ8" s="274">
        <f>IF(AZ7="ПРАВДА",1,IF(AZ7="Синя",0.5,IF(AZ7="Жовта",0.25,0)))</f>
        <v>0.5</v>
      </c>
      <c r="BA8" s="274">
        <f>IF(BA7="ПРАВДА",1,0)</f>
        <v>1</v>
      </c>
      <c r="BB8" s="274">
        <f>IF(BB7="ПРАВДА",1,0)</f>
        <v>1</v>
      </c>
      <c r="BC8" s="274">
        <f>IF(BC7="ПРАВДА",1,0)</f>
        <v>1</v>
      </c>
      <c r="BD8" s="274">
        <f>IF(BD7="ПРАВДА",1,0)</f>
        <v>1</v>
      </c>
      <c r="BE8" s="274">
        <f>IF(BE7="ПРАВДА",1,0)</f>
        <v>1</v>
      </c>
      <c r="BF8" s="274">
        <f t="shared" ref="BF8:BP8" si="3">IF(BF7="ПРАВДА",1,0)</f>
        <v>1</v>
      </c>
      <c r="BG8" s="274">
        <f t="shared" si="3"/>
        <v>1</v>
      </c>
      <c r="BH8" s="274">
        <f>IF(BH7="ПРАВДА",1,IF(BH7="Увага",0.5,0))</f>
        <v>0.5</v>
      </c>
      <c r="BI8" s="274">
        <f t="shared" si="3"/>
        <v>1</v>
      </c>
      <c r="BJ8" s="274">
        <f t="shared" si="3"/>
        <v>1</v>
      </c>
      <c r="BK8" s="274">
        <f t="shared" si="3"/>
        <v>1</v>
      </c>
      <c r="BL8" s="274">
        <f t="shared" si="3"/>
        <v>1</v>
      </c>
      <c r="BM8" s="274">
        <f t="shared" si="3"/>
        <v>1</v>
      </c>
      <c r="BN8" s="274">
        <f t="shared" si="3"/>
        <v>1</v>
      </c>
      <c r="BO8" s="274">
        <f t="shared" si="3"/>
        <v>1</v>
      </c>
      <c r="BP8" s="274">
        <f t="shared" si="3"/>
        <v>1</v>
      </c>
    </row>
    <row r="9" spans="1:68" x14ac:dyDescent="0.25">
      <c r="B9" s="1441" t="b">
        <f>IF(SUM(D8:I8,K8,R8:Y8,Z8,AF8,AK8,AL8,AZ8)=20,"Зелена")</f>
        <v>0</v>
      </c>
      <c r="C9" s="1441" t="str">
        <f>IF(AND(SUM(D8:I8,K8,R8:Y8,AA8:AC8,AE8,AG8:AI8,AK8,AL8,BA8,BC8,BE8:BG8,BI8:BP8)=37,AD8&gt;=0.5,BH8&gt;=0.5),"Синя")</f>
        <v>Синя</v>
      </c>
      <c r="D9" s="1441" t="str">
        <f>IF(AND(SUM(F8,AA8:AC8,AE8,AG8:AI8,AL8,BN8:BO8)=11,AD8&gt;=0.5),"Жовта")</f>
        <v>Жовта</v>
      </c>
      <c r="F9" s="274"/>
      <c r="H9" s="274"/>
      <c r="I9" s="274"/>
      <c r="J9" s="274"/>
      <c r="K9" s="274"/>
      <c r="L9" s="274"/>
      <c r="M9" s="274"/>
      <c r="N9" s="274"/>
      <c r="O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B9" s="274"/>
      <c r="BC9" s="274"/>
      <c r="BD9" s="274"/>
      <c r="BE9" s="274"/>
      <c r="BF9" s="274"/>
      <c r="BG9" s="274"/>
      <c r="BH9" s="274"/>
      <c r="BI9" s="274"/>
      <c r="BJ9" s="274"/>
      <c r="BK9" s="274"/>
      <c r="BL9" s="274"/>
      <c r="BM9" s="274"/>
      <c r="BN9" s="274"/>
      <c r="BO9" s="274"/>
    </row>
    <row r="10" spans="1:68" x14ac:dyDescent="0.25">
      <c r="A10" s="274"/>
    </row>
  </sheetData>
  <sheetProtection formatCells="0" formatColumns="0" formatRows="0"/>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tabColor rgb="FFFFFF00"/>
  </sheetPr>
  <dimension ref="A1:Y175"/>
  <sheetViews>
    <sheetView view="pageBreakPreview" topLeftCell="A19" zoomScale="60" zoomScaleNormal="70" workbookViewId="0">
      <selection activeCell="E30" sqref="E30"/>
    </sheetView>
  </sheetViews>
  <sheetFormatPr defaultColWidth="9.28515625" defaultRowHeight="15" x14ac:dyDescent="0.25"/>
  <cols>
    <col min="1" max="1" width="20.42578125" style="9" customWidth="1"/>
    <col min="2" max="2" width="7.5703125" style="9" hidden="1" customWidth="1"/>
    <col min="3" max="3" width="85.28515625" style="9" customWidth="1"/>
    <col min="4" max="4" width="19.28515625" style="9" customWidth="1"/>
    <col min="5" max="5" width="16.7109375" style="9" customWidth="1"/>
    <col min="6" max="25" width="9.28515625" style="81"/>
    <col min="26" max="16384" width="9.28515625" style="9"/>
  </cols>
  <sheetData>
    <row r="1" spans="1:25" ht="33" customHeight="1" x14ac:dyDescent="0.25">
      <c r="A1" s="2251" t="s">
        <v>0</v>
      </c>
      <c r="B1" s="2253"/>
      <c r="C1" s="90">
        <f>'Звіт 1,2,3'!D1</f>
        <v>2006707</v>
      </c>
      <c r="D1" s="3" t="s">
        <v>1</v>
      </c>
      <c r="E1" s="79">
        <f>'Звіт 1,2,3'!H1</f>
        <v>430</v>
      </c>
    </row>
    <row r="2" spans="1:25" ht="50.1" customHeight="1" x14ac:dyDescent="0.25">
      <c r="C2" s="2879" t="s">
        <v>256</v>
      </c>
      <c r="D2" s="2879"/>
      <c r="E2" s="2879"/>
    </row>
    <row r="3" spans="1:25" ht="18.75" x14ac:dyDescent="0.3">
      <c r="A3" s="2880" t="s">
        <v>292</v>
      </c>
      <c r="B3" s="2880"/>
      <c r="C3" s="2880"/>
      <c r="D3" s="2880"/>
      <c r="E3" s="2880"/>
      <c r="F3" s="83"/>
      <c r="G3" s="83"/>
      <c r="H3" s="83"/>
    </row>
    <row r="4" spans="1:25" ht="18.75" x14ac:dyDescent="0.3">
      <c r="E4" s="34" t="s">
        <v>262</v>
      </c>
    </row>
    <row r="5" spans="1:25" ht="18.75" customHeight="1" x14ac:dyDescent="0.25">
      <c r="A5" s="2429" t="s">
        <v>6</v>
      </c>
      <c r="B5" s="2429"/>
      <c r="C5" s="2868" t="s">
        <v>7</v>
      </c>
      <c r="D5" s="2866" t="s">
        <v>87</v>
      </c>
      <c r="E5" s="2866" t="s">
        <v>8</v>
      </c>
    </row>
    <row r="6" spans="1:25" ht="18.75" customHeight="1" x14ac:dyDescent="0.25">
      <c r="A6" s="2429"/>
      <c r="B6" s="2429"/>
      <c r="C6" s="2868"/>
      <c r="D6" s="2866"/>
      <c r="E6" s="2866"/>
    </row>
    <row r="7" spans="1:25" ht="14.1" customHeight="1" x14ac:dyDescent="0.25">
      <c r="A7" s="2429"/>
      <c r="B7" s="2429"/>
      <c r="C7" s="2868"/>
      <c r="D7" s="2866"/>
      <c r="E7" s="2866"/>
    </row>
    <row r="8" spans="1:25" ht="15.75" x14ac:dyDescent="0.25">
      <c r="A8" s="127">
        <v>1</v>
      </c>
      <c r="B8" s="42"/>
      <c r="C8" s="42">
        <v>2</v>
      </c>
      <c r="D8" s="42">
        <v>3</v>
      </c>
      <c r="E8" s="42">
        <v>4</v>
      </c>
    </row>
    <row r="9" spans="1:25" ht="29.65" customHeight="1" x14ac:dyDescent="0.3">
      <c r="A9" s="128"/>
      <c r="B9" s="36"/>
      <c r="C9" s="43" t="s">
        <v>257</v>
      </c>
      <c r="D9" s="125">
        <f>SUM(D10:D50)</f>
        <v>0</v>
      </c>
      <c r="E9" s="125">
        <f>SUM(E10:E50)</f>
        <v>14296309</v>
      </c>
    </row>
    <row r="10" spans="1:25" ht="29.65" customHeight="1" x14ac:dyDescent="0.25">
      <c r="A10" s="1440">
        <f>'Дод_Надходж ПМГ '!A10</f>
        <v>1</v>
      </c>
      <c r="B10" s="35"/>
      <c r="C10" s="33" t="str">
        <f>'Дод_Надходж ПМГ '!C10</f>
        <v>Первинна медична допомога</v>
      </c>
      <c r="D10" s="126">
        <v>0</v>
      </c>
      <c r="E10" s="1009">
        <v>0</v>
      </c>
    </row>
    <row r="11" spans="1:25" ht="29.65" customHeight="1" x14ac:dyDescent="0.25">
      <c r="A11" s="1440">
        <f>'Дод_Надходж ПМГ '!A11</f>
        <v>2</v>
      </c>
      <c r="B11" s="35"/>
      <c r="C11" s="33" t="str">
        <f>'Дод_Надходж ПМГ '!C11</f>
        <v>Екстрена медична допомога</v>
      </c>
      <c r="D11" s="126">
        <v>0</v>
      </c>
      <c r="E11" s="1009">
        <v>0</v>
      </c>
    </row>
    <row r="12" spans="1:25" s="31" customFormat="1" ht="29.65" customHeight="1" x14ac:dyDescent="0.25">
      <c r="A12" s="1440">
        <f>'Дод_Надходж ПМГ '!A12</f>
        <v>3</v>
      </c>
      <c r="B12" s="35"/>
      <c r="C12" s="893" t="str">
        <f>'Дод_Надходж ПМГ '!C12</f>
        <v>Хірургічні операції дорослим та дітям у стаціонарних умовах</v>
      </c>
      <c r="D12" s="126">
        <v>0</v>
      </c>
      <c r="E12" s="1009">
        <v>0</v>
      </c>
      <c r="F12" s="95"/>
      <c r="G12" s="95"/>
      <c r="H12" s="95"/>
      <c r="I12" s="95"/>
      <c r="J12" s="95"/>
      <c r="K12" s="95"/>
      <c r="L12" s="95"/>
      <c r="M12" s="95"/>
      <c r="N12" s="95"/>
      <c r="O12" s="95"/>
      <c r="P12" s="95"/>
      <c r="Q12" s="95"/>
      <c r="R12" s="95"/>
      <c r="S12" s="95"/>
      <c r="T12" s="95"/>
      <c r="U12" s="95"/>
      <c r="V12" s="95"/>
      <c r="W12" s="95"/>
      <c r="X12" s="95"/>
      <c r="Y12" s="95"/>
    </row>
    <row r="13" spans="1:25" ht="33" customHeight="1" x14ac:dyDescent="0.25">
      <c r="A13" s="1440">
        <f>'Дод_Надходж ПМГ '!A13</f>
        <v>4</v>
      </c>
      <c r="B13" s="35"/>
      <c r="C13" s="893" t="str">
        <f>'Дод_Надходж ПМГ '!C13</f>
        <v>Стаціонарна допомога дорослим та дітям без проведення хірургічних операцій</v>
      </c>
      <c r="D13" s="126">
        <v>0</v>
      </c>
      <c r="E13" s="1009">
        <v>0</v>
      </c>
    </row>
    <row r="14" spans="1:25" ht="37.35" customHeight="1" x14ac:dyDescent="0.25">
      <c r="A14" s="1440">
        <f>'Дод_Надходж ПМГ '!A14</f>
        <v>5</v>
      </c>
      <c r="B14" s="35"/>
      <c r="C14" s="893" t="str">
        <f>'Дод_Надходж ПМГ '!C14</f>
        <v>Медична допомога при гострому мозковому інсульті в стаціонарних умовах</v>
      </c>
      <c r="D14" s="126">
        <v>0</v>
      </c>
      <c r="E14" s="1009">
        <v>0</v>
      </c>
    </row>
    <row r="15" spans="1:25" ht="21" customHeight="1" x14ac:dyDescent="0.25">
      <c r="A15" s="1440">
        <f>'Дод_Надходж ПМГ '!A15</f>
        <v>6</v>
      </c>
      <c r="B15" s="35"/>
      <c r="C15" s="893" t="str">
        <f>'Дод_Надходж ПМГ '!C15</f>
        <v>Медична допомога при гострому інфаркті міокарда</v>
      </c>
      <c r="D15" s="126">
        <v>0</v>
      </c>
      <c r="E15" s="1009">
        <v>0</v>
      </c>
    </row>
    <row r="16" spans="1:25" ht="21" customHeight="1" x14ac:dyDescent="0.25">
      <c r="A16" s="1440">
        <f>'Дод_Надходж ПМГ '!A16</f>
        <v>7</v>
      </c>
      <c r="B16" s="35"/>
      <c r="C16" s="893" t="str">
        <f>'Дод_Надходж ПМГ '!C16</f>
        <v>Медична допомога при пологах</v>
      </c>
      <c r="D16" s="126">
        <v>0</v>
      </c>
      <c r="E16" s="1009">
        <v>0</v>
      </c>
    </row>
    <row r="17" spans="1:5" ht="20.45" customHeight="1" x14ac:dyDescent="0.25">
      <c r="A17" s="1440">
        <f>'Дод_Надходж ПМГ '!A17</f>
        <v>8</v>
      </c>
      <c r="B17" s="35"/>
      <c r="C17" s="893" t="str">
        <f>'Дод_Надходж ПМГ '!C17</f>
        <v>Медична допомога новонародженим у складних неонатальних випадках</v>
      </c>
      <c r="D17" s="126">
        <v>0</v>
      </c>
      <c r="E17" s="1009">
        <v>0</v>
      </c>
    </row>
    <row r="18" spans="1:5" ht="62.1" customHeight="1" x14ac:dyDescent="0.25">
      <c r="A18" s="1440">
        <f>'Дод_Надходж ПМГ '!A18</f>
        <v>9</v>
      </c>
      <c r="B18" s="35"/>
      <c r="C18" s="893" t="str">
        <f>'Дод_Надходж ПМГ '!C18</f>
        <v>Амбулаторна вторинна (спеціалізована) та третинна (високоспеціалізована) медична допомога дорослим та дітям, включаючи медичну реабілітацію та стоматологічну допомогу</v>
      </c>
      <c r="D18" s="126">
        <v>0</v>
      </c>
      <c r="E18" s="1009">
        <v>0</v>
      </c>
    </row>
    <row r="19" spans="1:5" ht="24" customHeight="1" x14ac:dyDescent="0.25">
      <c r="A19" s="1440">
        <f>'Дод_Надходж ПМГ '!A19</f>
        <v>10</v>
      </c>
      <c r="B19" s="35"/>
      <c r="C19" s="893" t="str">
        <f>'Дод_Надходж ПМГ '!C19</f>
        <v xml:space="preserve">Мамографія </v>
      </c>
      <c r="D19" s="126">
        <v>0</v>
      </c>
      <c r="E19" s="1009">
        <v>0</v>
      </c>
    </row>
    <row r="20" spans="1:5" ht="24" customHeight="1" x14ac:dyDescent="0.25">
      <c r="A20" s="1440">
        <f>'Дод_Надходж ПМГ '!A20</f>
        <v>11</v>
      </c>
      <c r="B20" s="35"/>
      <c r="C20" s="893" t="str">
        <f>'Дод_Надходж ПМГ '!C20</f>
        <v>Гістероскопія</v>
      </c>
      <c r="D20" s="126">
        <v>0</v>
      </c>
      <c r="E20" s="1009">
        <v>0</v>
      </c>
    </row>
    <row r="21" spans="1:5" ht="24" customHeight="1" x14ac:dyDescent="0.25">
      <c r="A21" s="1440">
        <f>'Дод_Надходж ПМГ '!A21</f>
        <v>12</v>
      </c>
      <c r="B21" s="35"/>
      <c r="C21" s="893" t="str">
        <f>'Дод_Надходж ПМГ '!C21</f>
        <v>Езофагодуоденоскопія</v>
      </c>
      <c r="D21" s="126">
        <v>0</v>
      </c>
      <c r="E21" s="1009">
        <v>0</v>
      </c>
    </row>
    <row r="22" spans="1:5" ht="24" customHeight="1" x14ac:dyDescent="0.25">
      <c r="A22" s="1440">
        <f>'Дод_Надходж ПМГ '!A22</f>
        <v>13</v>
      </c>
      <c r="B22" s="35"/>
      <c r="C22" s="893" t="str">
        <f>'Дод_Надходж ПМГ '!C22</f>
        <v>Колоноскопія</v>
      </c>
      <c r="D22" s="126">
        <v>0</v>
      </c>
      <c r="E22" s="1009">
        <v>0</v>
      </c>
    </row>
    <row r="23" spans="1:5" ht="24" customHeight="1" x14ac:dyDescent="0.25">
      <c r="A23" s="1440">
        <f>'Дод_Надходж ПМГ '!A23</f>
        <v>14</v>
      </c>
      <c r="B23" s="35"/>
      <c r="C23" s="893" t="str">
        <f>'Дод_Надходж ПМГ '!C23</f>
        <v>Цистосокія</v>
      </c>
      <c r="D23" s="126">
        <v>0</v>
      </c>
      <c r="E23" s="1009">
        <v>0</v>
      </c>
    </row>
    <row r="24" spans="1:5" ht="24" customHeight="1" x14ac:dyDescent="0.25">
      <c r="A24" s="1440">
        <f>'Дод_Надходж ПМГ '!A24</f>
        <v>15</v>
      </c>
      <c r="B24" s="35"/>
      <c r="C24" s="893" t="str">
        <f>'Дод_Надходж ПМГ '!C24</f>
        <v>Бронхоскопія</v>
      </c>
      <c r="D24" s="126">
        <v>0</v>
      </c>
      <c r="E24" s="1009">
        <v>104142</v>
      </c>
    </row>
    <row r="25" spans="1:5" ht="33.6" customHeight="1" x14ac:dyDescent="0.25">
      <c r="A25" s="1440">
        <f>'Дод_Надходж ПМГ '!A25</f>
        <v>16</v>
      </c>
      <c r="B25" s="35"/>
      <c r="C25" s="893" t="str">
        <f>'Дод_Надходж ПМГ '!C25</f>
        <v>Лікування пацієнтів методом екстракорпорального гемодіалізу в амбулаторних умовах</v>
      </c>
      <c r="D25" s="126">
        <v>0</v>
      </c>
      <c r="E25" s="1009">
        <v>0</v>
      </c>
    </row>
    <row r="26" spans="1:5" ht="33.6" customHeight="1" x14ac:dyDescent="0.25">
      <c r="A26" s="1440">
        <f>'Дод_Надходж ПМГ '!A26</f>
        <v>17</v>
      </c>
      <c r="B26" s="35"/>
      <c r="C26" s="1439" t="str">
        <f>'Дод_Надходж ПМГ '!C26</f>
        <v>Діагностика та хіміотерапевтичне лікування онкологічних захворювань у дорослих та дітей</v>
      </c>
      <c r="D26" s="126">
        <v>0</v>
      </c>
      <c r="E26" s="1009">
        <v>0</v>
      </c>
    </row>
    <row r="27" spans="1:5" ht="33.6" customHeight="1" x14ac:dyDescent="0.25">
      <c r="A27" s="1440">
        <f>'Дод_Надходж ПМГ '!A27</f>
        <v>18</v>
      </c>
      <c r="B27" s="35"/>
      <c r="C27" s="1439" t="str">
        <f>'Дод_Надходж ПМГ '!C27</f>
        <v>Діагностика та радіологічне лікування онкологічних захворювань у дорослих та дітей</v>
      </c>
      <c r="D27" s="126">
        <v>0</v>
      </c>
      <c r="E27" s="1009">
        <v>0</v>
      </c>
    </row>
    <row r="28" spans="1:5" ht="26.65" customHeight="1" x14ac:dyDescent="0.25">
      <c r="A28" s="1440">
        <f>'Дод_Надходж ПМГ '!A28</f>
        <v>19</v>
      </c>
      <c r="B28" s="35"/>
      <c r="C28" s="1439" t="str">
        <f>'Дод_Надходж ПМГ '!C28</f>
        <v>Психіатрична допомога дорослим та дітям</v>
      </c>
      <c r="D28" s="126">
        <v>0</v>
      </c>
      <c r="E28" s="1009">
        <v>0</v>
      </c>
    </row>
    <row r="29" spans="1:5" ht="26.65" customHeight="1" x14ac:dyDescent="0.25">
      <c r="A29" s="1440">
        <f>'Дод_Надходж ПМГ '!A29</f>
        <v>20</v>
      </c>
      <c r="B29" s="35"/>
      <c r="C29" s="1439" t="str">
        <f>'Дод_Надходж ПМГ '!C29</f>
        <v>Лікування дорослих та дітей із туберкульозом</v>
      </c>
      <c r="D29" s="126">
        <v>0</v>
      </c>
      <c r="E29" s="1009">
        <f>11702762</f>
        <v>11702762</v>
      </c>
    </row>
    <row r="30" spans="1:5" ht="26.65" customHeight="1" x14ac:dyDescent="0.25">
      <c r="A30" s="1440">
        <f>'Дод_Надходж ПМГ '!A30</f>
        <v>21</v>
      </c>
      <c r="B30" s="35"/>
      <c r="C30" s="1439" t="str">
        <f>'Дод_Надходж ПМГ '!C30</f>
        <v>Діагностика, лікування та супровід осіб із ВІЛ</v>
      </c>
      <c r="D30" s="126">
        <v>0</v>
      </c>
      <c r="E30" s="1009">
        <v>33334</v>
      </c>
    </row>
    <row r="31" spans="1:5" ht="55.9" customHeight="1" x14ac:dyDescent="0.25">
      <c r="A31" s="1440">
        <f>'Дод_Надходж ПМГ '!A31</f>
        <v>22</v>
      </c>
      <c r="B31" s="35"/>
      <c r="C31" s="1439" t="str">
        <f>'Дод_Надходж ПМГ '!C31</f>
        <v>Лікування осіб із психічними та поведінковими розладами внаслідок вживання опіоїдів із використанням препаратів замісної підтримувальної терапії</v>
      </c>
      <c r="D31" s="126">
        <v>0</v>
      </c>
      <c r="E31" s="1009">
        <v>5451</v>
      </c>
    </row>
    <row r="32" spans="1:5" ht="26.1" customHeight="1" x14ac:dyDescent="0.25">
      <c r="A32" s="1440">
        <f>'Дод_Надходж ПМГ '!A32</f>
        <v>23</v>
      </c>
      <c r="B32" s="35"/>
      <c r="C32" s="1439" t="str">
        <f>'Дод_Надходж ПМГ '!C32</f>
        <v>Стаціонарна паліативна медична допомога дорослим та дітям</v>
      </c>
      <c r="D32" s="126">
        <v>0</v>
      </c>
      <c r="E32" s="1009">
        <v>0</v>
      </c>
    </row>
    <row r="33" spans="1:12" ht="26.1" customHeight="1" x14ac:dyDescent="0.25">
      <c r="A33" s="1440">
        <f>'Дод_Надходж ПМГ '!A33</f>
        <v>24</v>
      </c>
      <c r="B33" s="35"/>
      <c r="C33" s="1439" t="str">
        <f>'Дод_Надходж ПМГ '!C33</f>
        <v>Мобільна паліативна медична допомога дорослим і дітям</v>
      </c>
      <c r="D33" s="126">
        <v>0</v>
      </c>
      <c r="E33" s="1009">
        <v>0</v>
      </c>
    </row>
    <row r="34" spans="1:12" ht="41.65" customHeight="1" x14ac:dyDescent="0.25">
      <c r="A34" s="1440">
        <f>'Дод_Надходж ПМГ '!A34</f>
        <v>25</v>
      </c>
      <c r="B34" s="35"/>
      <c r="C34" s="1439" t="str">
        <f>'Дод_Надходж ПМГ '!C34</f>
        <v>Медична реабілітація немовлят, які народилися передчасно та/або хворими, протягом перших трьох років життя</v>
      </c>
      <c r="D34" s="126">
        <v>0</v>
      </c>
      <c r="E34" s="1009">
        <v>0</v>
      </c>
    </row>
    <row r="35" spans="1:12" ht="33.6" customHeight="1" x14ac:dyDescent="0.25">
      <c r="A35" s="1440">
        <f>'Дод_Надходж ПМГ '!A35</f>
        <v>26</v>
      </c>
      <c r="B35" s="35"/>
      <c r="C35" s="1439" t="str">
        <f>'Дод_Надходж ПМГ '!C35</f>
        <v>Медична реабілітація дорослих та дітей від трьох років з ураженням опорно-рухового апарату</v>
      </c>
      <c r="D35" s="126">
        <v>0</v>
      </c>
      <c r="E35" s="1009">
        <v>0</v>
      </c>
    </row>
    <row r="36" spans="1:12" ht="40.35" customHeight="1" x14ac:dyDescent="0.25">
      <c r="A36" s="1440">
        <f>'Дод_Надходж ПМГ '!A36</f>
        <v>27</v>
      </c>
      <c r="B36" s="35"/>
      <c r="C36" s="1439" t="str">
        <f>'Дод_Надходж ПМГ '!C36</f>
        <v>Медична реабілітація дорослих та дітей від трьох років з ураженням нервової системи</v>
      </c>
      <c r="D36" s="126">
        <v>0</v>
      </c>
      <c r="E36" s="1009">
        <v>0</v>
      </c>
    </row>
    <row r="37" spans="1:12" ht="63" customHeight="1" x14ac:dyDescent="0.25">
      <c r="A37" s="1440">
        <f>'Дод_Надходж ПМГ '!A37</f>
        <v>28</v>
      </c>
      <c r="B37" s="35"/>
      <c r="C37" s="1413" t="str">
        <f>'Дод_Надходж ПМГ '!C37</f>
        <v>Екстрена медична допомога пацієнтам з підозрою або встановленим захворюванням на гостру респіраторну хворобу COVID-19, спричинену коронавірусом SARS-CoV-2</v>
      </c>
      <c r="D37" s="134">
        <v>0</v>
      </c>
      <c r="E37" s="1443">
        <v>0</v>
      </c>
    </row>
    <row r="38" spans="1:12" s="81" customFormat="1" ht="63" customHeight="1" x14ac:dyDescent="0.25">
      <c r="A38" s="1440">
        <f>'Дод_Надходж ПМГ '!A38</f>
        <v>29</v>
      </c>
      <c r="B38" s="35"/>
      <c r="C38" s="1413" t="str">
        <f>'Дод_Надходж ПМГ '!C38</f>
        <v>Медична допомога, яка надається мобільними медичними бригадами, що утворені для реагування на гостру респіраторну хворобу COVID-19, спричинену коронавірусом SARS-CoV-2</v>
      </c>
      <c r="D38" s="134">
        <v>0</v>
      </c>
      <c r="E38" s="1443">
        <v>0</v>
      </c>
    </row>
    <row r="39" spans="1:12" s="81" customFormat="1" ht="63" customHeight="1" x14ac:dyDescent="0.25">
      <c r="A39" s="1440">
        <f>'Дод_Надходж ПМГ '!A39</f>
        <v>30</v>
      </c>
      <c r="B39" s="35"/>
      <c r="C39" s="1413" t="str">
        <f>'Дод_Надходж ПМГ '!C39</f>
        <v>Стаціонарна медична допомога пацієнтам з гострою респіраторною хворобою COVID-19, спричиненою коронавірусом SARS-CoV-2, яка надається окремими закладами охорони здоров’я протягом квітня 2020 року</v>
      </c>
      <c r="D39" s="134">
        <v>0</v>
      </c>
      <c r="E39" s="1443">
        <v>0</v>
      </c>
    </row>
    <row r="40" spans="1:12" s="81" customFormat="1" ht="52.9" customHeight="1" x14ac:dyDescent="0.25">
      <c r="A40" s="1440">
        <f>'Дод_Надходж ПМГ '!A40</f>
        <v>31</v>
      </c>
      <c r="B40" s="35"/>
      <c r="C40" s="1439" t="str">
        <f>'Дод_Надходж ПМГ '!C40</f>
        <v>Стаціонарна допомога пацієнтам з гострою респіраторною хворобою COVID-19, спричиненою коронавірусом SARS-CoV-2</v>
      </c>
      <c r="D40" s="134">
        <v>0</v>
      </c>
      <c r="E40" s="1443">
        <v>0</v>
      </c>
    </row>
    <row r="41" spans="1:12" s="81" customFormat="1" ht="51.6" customHeight="1" x14ac:dyDescent="0.25">
      <c r="A41" s="1440">
        <f>'Дод_Надходж ПМГ '!A41</f>
        <v>32</v>
      </c>
      <c r="B41" s="35"/>
      <c r="C41" s="1413" t="str">
        <f>'Дод_Надходж ПМГ '!C41</f>
        <v>Перехідне фінансове забезпечення комплексного надання медичних послуг закладами охорони здоров’я</v>
      </c>
      <c r="D41" s="134">
        <v>0</v>
      </c>
      <c r="E41" s="1443">
        <v>2450620</v>
      </c>
    </row>
    <row r="42" spans="1:12" s="81" customFormat="1" ht="37.5" x14ac:dyDescent="0.25">
      <c r="A42" s="1440">
        <f>'Дод_Надходж ПМГ '!A42</f>
        <v>33</v>
      </c>
      <c r="B42" s="35"/>
      <c r="C42" s="1439" t="str">
        <f>'Дод_Надходж ПМГ '!C42</f>
        <v>Перехідне фінансове забезпечення комплексного надання медичних послуг в частині умов, які застосовуються з 1 вересня 2020 року</v>
      </c>
      <c r="D42" s="134">
        <v>0</v>
      </c>
      <c r="E42" s="1009">
        <v>0</v>
      </c>
      <c r="F42" s="2878"/>
      <c r="G42" s="2878"/>
      <c r="H42" s="2878"/>
      <c r="I42" s="2878"/>
      <c r="J42" s="2878"/>
      <c r="K42" s="2878"/>
      <c r="L42" s="2878"/>
    </row>
    <row r="43" spans="1:12" s="81" customFormat="1" ht="18.75" x14ac:dyDescent="0.25">
      <c r="A43" s="1440">
        <f>'Дод_Надходж ПМГ '!A43</f>
        <v>34</v>
      </c>
      <c r="B43" s="35"/>
      <c r="C43" s="1439" t="str">
        <f>'Дод_Надходж ПМГ '!C43</f>
        <v>Стоматологічна допомога дорослим та дітям</v>
      </c>
      <c r="D43" s="134">
        <v>0</v>
      </c>
      <c r="E43" s="1009">
        <v>0</v>
      </c>
    </row>
    <row r="44" spans="1:12" s="81" customFormat="1" ht="18.75" x14ac:dyDescent="0.25">
      <c r="A44" s="1440">
        <f>'Дод_Надходж ПМГ '!A44</f>
        <v>35</v>
      </c>
      <c r="B44" s="35"/>
      <c r="C44" s="1439" t="str">
        <f>'Дод_Надходж ПМГ '!C44</f>
        <v>Ведення вагітності в амбулаторних умовах</v>
      </c>
      <c r="D44" s="134">
        <v>0</v>
      </c>
      <c r="E44" s="1009">
        <v>0</v>
      </c>
    </row>
    <row r="45" spans="1:12" s="81" customFormat="1" ht="37.5" x14ac:dyDescent="0.25">
      <c r="A45" s="1440">
        <f>'Дод_Надходж ПМГ '!A45</f>
        <v>36</v>
      </c>
      <c r="B45" s="35"/>
      <c r="C45" s="1439" t="str">
        <f>'Дод_Надходж ПМГ '!C45</f>
        <v>Вакцинація від гострої респіраторної хвороби COVID-19, спричиненої короновірусом SARS-CoV-2</v>
      </c>
      <c r="D45" s="134">
        <v>0</v>
      </c>
      <c r="E45" s="1009">
        <v>0</v>
      </c>
    </row>
    <row r="46" spans="1:12" s="81" customFormat="1" ht="56.25" x14ac:dyDescent="0.25">
      <c r="A46" s="1440">
        <f>'Дод_Надходж ПМГ '!A46</f>
        <v>37</v>
      </c>
      <c r="B46" s="35"/>
      <c r="C46" s="1439" t="str">
        <f>'Дод_Надходж ПМГ '!C46</f>
        <v xml:space="preserve">Лікування та супровід пацієнтів з гематологічними та онкогематологічними захворюваннями у дорослих та дітей в амбулаторних та стаціонарних умовах </v>
      </c>
      <c r="D46" s="134">
        <v>0</v>
      </c>
      <c r="E46" s="1009">
        <v>0</v>
      </c>
    </row>
    <row r="47" spans="1:12" s="81" customFormat="1" ht="37.5" x14ac:dyDescent="0.25">
      <c r="A47" s="1440">
        <f>'Дод_Надходж ПМГ '!A47</f>
        <v>38</v>
      </c>
      <c r="B47" s="35"/>
      <c r="C47" s="1439" t="str">
        <f>'Дод_Надходж ПМГ '!C47</f>
        <v xml:space="preserve">Супровід та лікування дорослих та дітей, хворих на туберкульоз, на первинному рівні медичної допомоги </v>
      </c>
      <c r="D47" s="134">
        <v>0</v>
      </c>
      <c r="E47" s="1009">
        <v>0</v>
      </c>
    </row>
    <row r="48" spans="1:12" s="81" customFormat="1" ht="37.5" x14ac:dyDescent="0.25">
      <c r="A48" s="1440">
        <f>'Дод_Надходж ПМГ '!A48</f>
        <v>39</v>
      </c>
      <c r="B48" s="35"/>
      <c r="C48" s="1439" t="str">
        <f>'Дод_Надходж ПМГ '!C48</f>
        <v xml:space="preserve">Лікування пацієнтів методом перитонеального діалізу в амбулаторних умовах  </v>
      </c>
      <c r="D48" s="134">
        <v>0</v>
      </c>
      <c r="E48" s="1009">
        <v>0</v>
      </c>
    </row>
    <row r="49" spans="1:5" s="81" customFormat="1" ht="37.5" x14ac:dyDescent="0.25">
      <c r="A49" s="1440">
        <f>'Дод_Надходж ПМГ '!A49</f>
        <v>40</v>
      </c>
      <c r="B49" s="35"/>
      <c r="C49" s="1439" t="str">
        <f>'Дод_Надходж ПМГ '!C49</f>
        <v xml:space="preserve">Психіатрична допомога, яка надається мобільними мультидисциплінарними командами з охорони психічного здоров’я </v>
      </c>
      <c r="D49" s="134">
        <v>0</v>
      </c>
      <c r="E49" s="1009">
        <v>0</v>
      </c>
    </row>
    <row r="50" spans="1:5" s="81" customFormat="1" ht="18.75" x14ac:dyDescent="0.25">
      <c r="A50" s="1440">
        <f>'Дод_Надходж ПМГ '!A50</f>
        <v>41</v>
      </c>
      <c r="B50" s="35"/>
      <c r="C50" s="1439" t="str">
        <f>'Дод_Надходж ПМГ '!C50</f>
        <v xml:space="preserve">Готовність до реагування на інфекційні захворювання та епідемії </v>
      </c>
      <c r="D50" s="134">
        <v>0</v>
      </c>
      <c r="E50" s="1009">
        <v>0</v>
      </c>
    </row>
    <row r="51" spans="1:5" s="81" customFormat="1" x14ac:dyDescent="0.25"/>
    <row r="52" spans="1:5" s="81" customFormat="1" x14ac:dyDescent="0.25"/>
    <row r="53" spans="1:5" s="81" customFormat="1" x14ac:dyDescent="0.25"/>
    <row r="54" spans="1:5" s="81" customFormat="1" x14ac:dyDescent="0.25"/>
    <row r="55" spans="1:5" s="81" customFormat="1" x14ac:dyDescent="0.25"/>
    <row r="56" spans="1:5" s="81" customFormat="1" x14ac:dyDescent="0.25"/>
    <row r="57" spans="1:5" s="81" customFormat="1" x14ac:dyDescent="0.25"/>
    <row r="58" spans="1:5" s="81" customFormat="1" x14ac:dyDescent="0.25"/>
    <row r="59" spans="1:5" s="81" customFormat="1" x14ac:dyDescent="0.25"/>
    <row r="60" spans="1:5" s="81" customFormat="1" x14ac:dyDescent="0.25"/>
    <row r="61" spans="1:5" s="81" customFormat="1" x14ac:dyDescent="0.25"/>
    <row r="62" spans="1:5" s="81" customFormat="1" x14ac:dyDescent="0.25"/>
    <row r="63" spans="1:5" s="81" customFormat="1" x14ac:dyDescent="0.25"/>
    <row r="64" spans="1:5" s="81" customFormat="1" x14ac:dyDescent="0.25"/>
    <row r="65" s="81" customFormat="1" x14ac:dyDescent="0.25"/>
    <row r="66" s="81" customFormat="1" x14ac:dyDescent="0.25"/>
    <row r="67" s="81" customFormat="1" x14ac:dyDescent="0.25"/>
    <row r="68" s="81" customFormat="1" x14ac:dyDescent="0.25"/>
    <row r="69" s="81" customFormat="1" x14ac:dyDescent="0.25"/>
    <row r="70" s="81" customFormat="1" x14ac:dyDescent="0.25"/>
    <row r="71" s="81" customFormat="1" x14ac:dyDescent="0.25"/>
    <row r="72" s="81" customFormat="1" x14ac:dyDescent="0.25"/>
    <row r="73" s="81" customFormat="1" x14ac:dyDescent="0.25"/>
    <row r="74" s="81" customFormat="1" x14ac:dyDescent="0.25"/>
    <row r="75" s="81" customFormat="1" x14ac:dyDescent="0.25"/>
    <row r="76" s="81" customFormat="1" x14ac:dyDescent="0.25"/>
    <row r="77" s="81" customFormat="1" x14ac:dyDescent="0.25"/>
    <row r="78" s="81" customFormat="1" x14ac:dyDescent="0.25"/>
    <row r="79" s="81" customFormat="1" x14ac:dyDescent="0.25"/>
    <row r="80" s="81" customFormat="1" x14ac:dyDescent="0.25"/>
    <row r="81" s="81" customFormat="1" x14ac:dyDescent="0.25"/>
    <row r="82" s="81" customFormat="1" x14ac:dyDescent="0.25"/>
    <row r="83" s="81" customFormat="1" x14ac:dyDescent="0.25"/>
    <row r="84" s="81" customFormat="1" x14ac:dyDescent="0.25"/>
    <row r="85" s="81" customFormat="1" x14ac:dyDescent="0.25"/>
    <row r="86" s="81" customFormat="1" x14ac:dyDescent="0.25"/>
    <row r="87" s="81" customFormat="1" x14ac:dyDescent="0.25"/>
    <row r="88" s="81" customFormat="1" x14ac:dyDescent="0.25"/>
    <row r="89" s="81" customFormat="1" x14ac:dyDescent="0.25"/>
    <row r="90" s="81" customFormat="1" x14ac:dyDescent="0.25"/>
    <row r="91" s="81" customFormat="1" x14ac:dyDescent="0.25"/>
    <row r="92" s="81" customFormat="1" x14ac:dyDescent="0.25"/>
    <row r="93" s="81" customFormat="1" x14ac:dyDescent="0.25"/>
    <row r="94" s="81" customFormat="1" x14ac:dyDescent="0.25"/>
    <row r="95" s="81" customFormat="1" x14ac:dyDescent="0.25"/>
    <row r="96" s="81" customFormat="1" x14ac:dyDescent="0.25"/>
    <row r="97" s="81" customFormat="1" x14ac:dyDescent="0.25"/>
    <row r="98" s="81" customFormat="1" x14ac:dyDescent="0.25"/>
    <row r="99" s="81" customFormat="1" x14ac:dyDescent="0.25"/>
    <row r="100" s="81" customFormat="1" x14ac:dyDescent="0.25"/>
    <row r="101" s="81" customFormat="1" x14ac:dyDescent="0.25"/>
    <row r="102" s="81" customFormat="1" x14ac:dyDescent="0.25"/>
    <row r="103" s="81" customFormat="1" x14ac:dyDescent="0.25"/>
    <row r="104" s="81" customFormat="1" x14ac:dyDescent="0.25"/>
    <row r="105" s="81" customFormat="1" x14ac:dyDescent="0.25"/>
    <row r="106" s="81" customFormat="1" x14ac:dyDescent="0.25"/>
    <row r="107" s="81" customFormat="1" x14ac:dyDescent="0.25"/>
    <row r="108" s="81" customFormat="1" x14ac:dyDescent="0.25"/>
    <row r="109" s="81" customFormat="1" x14ac:dyDescent="0.25"/>
    <row r="110" s="81" customFormat="1" x14ac:dyDescent="0.25"/>
    <row r="111" s="81" customFormat="1" x14ac:dyDescent="0.25"/>
    <row r="112" s="81" customFormat="1" x14ac:dyDescent="0.25"/>
    <row r="113" s="81" customFormat="1" x14ac:dyDescent="0.25"/>
    <row r="114" s="81" customFormat="1" x14ac:dyDescent="0.25"/>
    <row r="115" s="81" customFormat="1" x14ac:dyDescent="0.25"/>
    <row r="116" s="81" customFormat="1" x14ac:dyDescent="0.25"/>
    <row r="117" s="81" customFormat="1" x14ac:dyDescent="0.25"/>
    <row r="118" s="81" customFormat="1" x14ac:dyDescent="0.25"/>
    <row r="119" s="81" customFormat="1" x14ac:dyDescent="0.25"/>
    <row r="120" s="81" customFormat="1" x14ac:dyDescent="0.25"/>
    <row r="121" s="81" customFormat="1" x14ac:dyDescent="0.25"/>
    <row r="122" s="81" customFormat="1" x14ac:dyDescent="0.25"/>
    <row r="123" s="81" customFormat="1" x14ac:dyDescent="0.25"/>
    <row r="124" s="81" customFormat="1" x14ac:dyDescent="0.25"/>
    <row r="125" s="81" customFormat="1" x14ac:dyDescent="0.25"/>
    <row r="126" s="81" customFormat="1" x14ac:dyDescent="0.25"/>
    <row r="127" s="81" customFormat="1" x14ac:dyDescent="0.25"/>
    <row r="128" s="81" customFormat="1" x14ac:dyDescent="0.25"/>
    <row r="129" s="81" customFormat="1" x14ac:dyDescent="0.25"/>
    <row r="130" s="81" customFormat="1" x14ac:dyDescent="0.25"/>
    <row r="131" s="81" customFormat="1" x14ac:dyDescent="0.25"/>
    <row r="132" s="81" customFormat="1" x14ac:dyDescent="0.25"/>
    <row r="133" s="81" customFormat="1" x14ac:dyDescent="0.25"/>
    <row r="134" s="81" customFormat="1" x14ac:dyDescent="0.25"/>
    <row r="135" s="81" customFormat="1" x14ac:dyDescent="0.25"/>
    <row r="136" s="81" customFormat="1" x14ac:dyDescent="0.25"/>
    <row r="137" s="81" customFormat="1" x14ac:dyDescent="0.25"/>
    <row r="138" s="81" customFormat="1" x14ac:dyDescent="0.25"/>
    <row r="139" s="81" customFormat="1" x14ac:dyDescent="0.25"/>
    <row r="140" s="81" customFormat="1" x14ac:dyDescent="0.25"/>
    <row r="141" s="81" customFormat="1" x14ac:dyDescent="0.25"/>
    <row r="142" s="81" customFormat="1" x14ac:dyDescent="0.25"/>
    <row r="143" s="81" customFormat="1" x14ac:dyDescent="0.25"/>
    <row r="144" s="81" customFormat="1" x14ac:dyDescent="0.25"/>
    <row r="145" s="81" customFormat="1" x14ac:dyDescent="0.25"/>
    <row r="146" s="81" customFormat="1" x14ac:dyDescent="0.25"/>
    <row r="147" s="81" customFormat="1" x14ac:dyDescent="0.25"/>
    <row r="148" s="81" customFormat="1" x14ac:dyDescent="0.25"/>
    <row r="149" s="81" customFormat="1" x14ac:dyDescent="0.25"/>
    <row r="150" s="81" customFormat="1" x14ac:dyDescent="0.25"/>
    <row r="151" s="81" customFormat="1" x14ac:dyDescent="0.25"/>
    <row r="152" s="81" customFormat="1" x14ac:dyDescent="0.25"/>
    <row r="153" s="81" customFormat="1" x14ac:dyDescent="0.25"/>
    <row r="154" s="81" customFormat="1" x14ac:dyDescent="0.25"/>
    <row r="155" s="81" customFormat="1" x14ac:dyDescent="0.25"/>
    <row r="156" s="81" customFormat="1" x14ac:dyDescent="0.25"/>
    <row r="157" s="81" customFormat="1" x14ac:dyDescent="0.25"/>
    <row r="158" s="81" customFormat="1" x14ac:dyDescent="0.25"/>
    <row r="159" s="81" customFormat="1" x14ac:dyDescent="0.25"/>
    <row r="160" s="81" customFormat="1" x14ac:dyDescent="0.25"/>
    <row r="161" s="81" customFormat="1" x14ac:dyDescent="0.25"/>
    <row r="162" s="81" customFormat="1" x14ac:dyDescent="0.25"/>
    <row r="163" s="81" customFormat="1" x14ac:dyDescent="0.25"/>
    <row r="164" s="81" customFormat="1" x14ac:dyDescent="0.25"/>
    <row r="165" s="81" customFormat="1" x14ac:dyDescent="0.25"/>
    <row r="166" s="81" customFormat="1" x14ac:dyDescent="0.25"/>
    <row r="167" s="81" customFormat="1" x14ac:dyDescent="0.25"/>
    <row r="168" s="81" customFormat="1" x14ac:dyDescent="0.25"/>
    <row r="169" s="81" customFormat="1" x14ac:dyDescent="0.25"/>
    <row r="170" s="81" customFormat="1" x14ac:dyDescent="0.25"/>
    <row r="171" s="81" customFormat="1" x14ac:dyDescent="0.25"/>
    <row r="172" s="81" customFormat="1" x14ac:dyDescent="0.25"/>
    <row r="173" s="81" customFormat="1" x14ac:dyDescent="0.25"/>
    <row r="174" s="81" customFormat="1" x14ac:dyDescent="0.25"/>
    <row r="175" s="81" customFormat="1" x14ac:dyDescent="0.25"/>
  </sheetData>
  <sheetProtection password="FB6B" sheet="1" formatCells="0" formatColumns="0" formatRows="0"/>
  <mergeCells count="9">
    <mergeCell ref="F42:L42"/>
    <mergeCell ref="A1:B1"/>
    <mergeCell ref="C2:E2"/>
    <mergeCell ref="A3:E3"/>
    <mergeCell ref="A5:A7"/>
    <mergeCell ref="E5:E7"/>
    <mergeCell ref="B5:B7"/>
    <mergeCell ref="C5:C7"/>
    <mergeCell ref="D5:D7"/>
  </mergeCells>
  <dataValidations count="1">
    <dataValidation type="decimal" operator="greaterThanOrEqual" showInputMessage="1" showErrorMessage="1" error="Будь ласка, вкажіть додатнє число." sqref="D9:E50">
      <formula1>0</formula1>
    </dataValidation>
  </dataValidations>
  <printOptions horizontalCentered="1"/>
  <pageMargins left="0.31496062992125984" right="0.11811023622047245" top="0.15748031496062992" bottom="0.15748031496062992" header="0.31496062992125984" footer="0.31496062992125984"/>
  <pageSetup paperSize="9" scale="67" orientation="portrait" verticalDpi="300" r:id="rId1"/>
  <colBreaks count="1" manualBreakCount="1">
    <brk id="5" max="4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9">
    <tabColor rgb="FFFFFF00"/>
  </sheetPr>
  <dimension ref="A1:S89"/>
  <sheetViews>
    <sheetView topLeftCell="A19" workbookViewId="0">
      <selection activeCell="I31" sqref="I31:J31"/>
    </sheetView>
  </sheetViews>
  <sheetFormatPr defaultRowHeight="15" x14ac:dyDescent="0.25"/>
  <cols>
    <col min="1" max="1" width="9.85546875" customWidth="1"/>
    <col min="2" max="2" width="11.85546875" customWidth="1"/>
    <col min="3" max="3" width="19.7109375" customWidth="1"/>
    <col min="4" max="4" width="18.42578125" customWidth="1"/>
    <col min="5" max="5" width="15.42578125" customWidth="1"/>
    <col min="6" max="7" width="17.7109375" customWidth="1"/>
    <col min="8" max="8" width="17.42578125" customWidth="1"/>
    <col min="9" max="9" width="13" customWidth="1"/>
    <col min="10" max="10" width="16.5703125" customWidth="1"/>
    <col min="11" max="11" width="12.85546875" customWidth="1"/>
    <col min="12" max="12" width="11.28515625" customWidth="1"/>
    <col min="13" max="13" width="11.7109375" customWidth="1"/>
    <col min="14" max="14" width="10.85546875" customWidth="1"/>
    <col min="15" max="15" width="11.28515625" customWidth="1"/>
    <col min="16" max="16" width="12" customWidth="1"/>
  </cols>
  <sheetData>
    <row r="1" spans="1:19" x14ac:dyDescent="0.25">
      <c r="A1" s="2905" t="s">
        <v>1623</v>
      </c>
      <c r="B1" s="2905"/>
      <c r="C1" s="2905"/>
      <c r="D1" s="2905"/>
      <c r="E1" s="2905"/>
      <c r="F1" s="2905"/>
      <c r="G1" s="2905"/>
      <c r="H1" s="1658"/>
      <c r="I1" s="1658"/>
      <c r="J1" s="1658"/>
      <c r="K1" s="1658"/>
      <c r="L1" s="1658"/>
      <c r="M1" s="1658"/>
      <c r="N1" s="1658"/>
      <c r="O1" s="1658"/>
      <c r="P1" s="1658"/>
      <c r="Q1" s="1658"/>
      <c r="R1" s="1658"/>
      <c r="S1" s="1658"/>
    </row>
    <row r="2" spans="1:19" x14ac:dyDescent="0.25">
      <c r="A2" s="1376"/>
      <c r="B2" s="1377"/>
      <c r="C2" s="1377"/>
      <c r="D2" s="1377"/>
      <c r="E2" s="1377"/>
      <c r="F2" s="1378"/>
      <c r="G2" s="1378"/>
      <c r="H2" s="1658"/>
      <c r="I2" s="1658"/>
      <c r="J2" s="1658"/>
      <c r="K2" s="1658"/>
      <c r="L2" s="1658"/>
      <c r="M2" s="1658"/>
      <c r="N2" s="1658"/>
      <c r="O2" s="1658"/>
      <c r="P2" s="1658"/>
      <c r="Q2" s="1658"/>
      <c r="R2" s="1658"/>
      <c r="S2" s="1658"/>
    </row>
    <row r="3" spans="1:19" ht="15.75" thickBot="1" x14ac:dyDescent="0.3">
      <c r="A3" s="2906" t="s">
        <v>1311</v>
      </c>
      <c r="B3" s="2906"/>
      <c r="C3" s="2906"/>
      <c r="D3" s="2906"/>
      <c r="E3" s="2906"/>
      <c r="F3" s="2906"/>
      <c r="G3" s="2906"/>
      <c r="H3" s="1658"/>
      <c r="I3" s="1658"/>
      <c r="J3" s="1658"/>
      <c r="K3" s="1658"/>
      <c r="L3" s="1658"/>
      <c r="M3" s="1658"/>
      <c r="N3" s="1658"/>
      <c r="O3" s="1658"/>
      <c r="P3" s="1658"/>
      <c r="Q3" s="1658"/>
      <c r="R3" s="1658"/>
      <c r="S3" s="1658"/>
    </row>
    <row r="4" spans="1:19" ht="14.45" customHeight="1" thickBot="1" x14ac:dyDescent="0.3">
      <c r="A4" s="2907"/>
      <c r="B4" s="2909" t="s">
        <v>261</v>
      </c>
      <c r="C4" s="2912" t="s">
        <v>486</v>
      </c>
      <c r="D4" s="2913"/>
      <c r="E4" s="2913"/>
      <c r="F4" s="2913"/>
      <c r="G4" s="2913"/>
      <c r="H4" s="2913"/>
      <c r="I4" s="2914"/>
      <c r="J4" s="1658"/>
      <c r="K4" s="1658"/>
      <c r="L4" s="1658"/>
      <c r="M4" s="1658"/>
      <c r="N4" s="1658"/>
      <c r="O4" s="1658"/>
      <c r="P4" s="1658"/>
      <c r="Q4" s="1658"/>
      <c r="R4" s="1658"/>
      <c r="S4" s="1658"/>
    </row>
    <row r="5" spans="1:19" s="262" customFormat="1" ht="72" customHeight="1" x14ac:dyDescent="0.25">
      <c r="A5" s="2908"/>
      <c r="B5" s="2910"/>
      <c r="C5" s="1574" t="s">
        <v>1312</v>
      </c>
      <c r="D5" s="1574" t="s">
        <v>1313</v>
      </c>
      <c r="E5" s="1574" t="s">
        <v>1861</v>
      </c>
      <c r="F5" s="1574" t="s">
        <v>1314</v>
      </c>
      <c r="G5" s="1575" t="s">
        <v>1315</v>
      </c>
      <c r="H5" s="1575" t="s">
        <v>1316</v>
      </c>
      <c r="I5" s="1576" t="s">
        <v>1862</v>
      </c>
      <c r="J5" s="1659"/>
      <c r="K5" s="1659"/>
      <c r="L5" s="1659"/>
      <c r="M5" s="1659"/>
      <c r="N5" s="1659"/>
      <c r="O5" s="1659"/>
      <c r="P5" s="1659"/>
      <c r="Q5" s="1659"/>
      <c r="R5" s="1659"/>
      <c r="S5" s="1659"/>
    </row>
    <row r="6" spans="1:19" x14ac:dyDescent="0.25">
      <c r="A6" s="1381" t="s">
        <v>337</v>
      </c>
      <c r="B6" s="1382">
        <f>C6+D6+F6+G6+H6+I6</f>
        <v>27114.575999999997</v>
      </c>
      <c r="C6" s="1382">
        <f>'Звіт 1,2,3'!H19/1000</f>
        <v>14296.308999999999</v>
      </c>
      <c r="D6" s="1382">
        <f>('Звіт 1,2,3'!I55+'Звіт 1,2,3'!I56)/1000</f>
        <v>0</v>
      </c>
      <c r="E6" s="1382">
        <f>('Звіт 1,2,3'!L58+'Звіт 1,2,3'!M58)/1000</f>
        <v>0</v>
      </c>
      <c r="F6" s="1382">
        <f>('Звіт 1,2,3'!O19-'Звіт 1,2,3'!I55-'Звіт 1,2,3'!I56-'Звіт 1,2,3'!L58-'Звіт 1,2,3'!M58)/1000</f>
        <v>19.202000000000002</v>
      </c>
      <c r="G6" s="1382">
        <f>('Звіт 1,2,3'!I19+'Звіт 1,2,3'!J19)/1000</f>
        <v>9068.3029999999999</v>
      </c>
      <c r="H6" s="1382">
        <f>('Звіт 1,2,3'!K19+'Звіт 1,2,3'!L19)/1000</f>
        <v>3192.0709999999999</v>
      </c>
      <c r="I6" s="1383">
        <f>('Звіт 1,2,3'!M19+'Звіт 1,2,3'!N19)/1000</f>
        <v>538.69100000000003</v>
      </c>
      <c r="J6" s="1658"/>
      <c r="K6" s="1658"/>
      <c r="L6" s="1658"/>
      <c r="M6" s="1658"/>
      <c r="N6" s="1658"/>
      <c r="O6" s="1658"/>
      <c r="P6" s="1658"/>
      <c r="Q6" s="1658"/>
      <c r="R6" s="1658"/>
      <c r="S6" s="1658"/>
    </row>
    <row r="7" spans="1:19" ht="15.75" thickBot="1" x14ac:dyDescent="0.3">
      <c r="A7" s="1384" t="s">
        <v>1317</v>
      </c>
      <c r="B7" s="1385">
        <f t="shared" ref="B7:I7" si="0">B6*100/$B$6</f>
        <v>100</v>
      </c>
      <c r="C7" s="1385">
        <f t="shared" si="0"/>
        <v>52.725548797075049</v>
      </c>
      <c r="D7" s="1385">
        <f t="shared" si="0"/>
        <v>0</v>
      </c>
      <c r="E7" s="1385">
        <f t="shared" si="0"/>
        <v>0</v>
      </c>
      <c r="F7" s="1385">
        <f t="shared" si="0"/>
        <v>7.0817998407941188E-2</v>
      </c>
      <c r="G7" s="1385">
        <f t="shared" si="0"/>
        <v>33.444384304589533</v>
      </c>
      <c r="H7" s="1385">
        <f t="shared" si="0"/>
        <v>11.772527809396689</v>
      </c>
      <c r="I7" s="1391">
        <f t="shared" si="0"/>
        <v>1.986721090530791</v>
      </c>
      <c r="J7" s="1658"/>
      <c r="K7" s="1658"/>
      <c r="L7" s="1658"/>
      <c r="M7" s="1658"/>
      <c r="N7" s="1658"/>
      <c r="O7" s="1658"/>
      <c r="P7" s="1658"/>
      <c r="Q7" s="1658"/>
      <c r="R7" s="1658"/>
      <c r="S7" s="1658"/>
    </row>
    <row r="8" spans="1:19" x14ac:dyDescent="0.25">
      <c r="A8" s="1433"/>
      <c r="B8" s="1378"/>
      <c r="C8" s="1378"/>
      <c r="D8" s="1378"/>
      <c r="E8" s="1378"/>
      <c r="F8" s="1378"/>
      <c r="G8" s="1378"/>
      <c r="H8" s="1378"/>
      <c r="I8" s="1658"/>
      <c r="J8" s="1658"/>
      <c r="K8" s="1658"/>
      <c r="L8" s="1658"/>
      <c r="M8" s="1658"/>
      <c r="N8" s="1658"/>
      <c r="O8" s="1658"/>
      <c r="P8" s="1658"/>
      <c r="Q8" s="1658"/>
      <c r="R8" s="1658"/>
      <c r="S8" s="1658"/>
    </row>
    <row r="9" spans="1:19" x14ac:dyDescent="0.25">
      <c r="A9" s="1386" t="s">
        <v>1622</v>
      </c>
      <c r="B9" s="1379"/>
      <c r="C9" s="1387"/>
      <c r="D9" s="1387"/>
      <c r="E9" s="1387"/>
      <c r="F9" s="1388"/>
      <c r="G9" s="1389"/>
      <c r="H9" s="1658"/>
      <c r="I9" s="1658"/>
      <c r="J9" s="1658"/>
      <c r="K9" s="1658"/>
      <c r="L9" s="1658"/>
      <c r="M9" s="1658"/>
      <c r="N9" s="1658"/>
      <c r="O9" s="1658"/>
      <c r="P9" s="1658"/>
      <c r="Q9" s="1658"/>
      <c r="R9" s="1658"/>
      <c r="S9" s="1658"/>
    </row>
    <row r="10" spans="1:19" ht="13.5" customHeight="1" x14ac:dyDescent="0.25">
      <c r="A10" s="1420" t="s">
        <v>6</v>
      </c>
      <c r="B10" s="2911" t="s">
        <v>1629</v>
      </c>
      <c r="C10" s="2911"/>
      <c r="D10" s="2911"/>
      <c r="E10" s="2911"/>
      <c r="F10" s="1380" t="s">
        <v>337</v>
      </c>
      <c r="G10" s="1417" t="s">
        <v>1318</v>
      </c>
      <c r="H10" s="1658"/>
      <c r="I10" s="1658"/>
      <c r="J10" s="1658"/>
      <c r="K10" s="1658"/>
      <c r="L10" s="1658"/>
      <c r="M10" s="1658"/>
      <c r="N10" s="1658"/>
      <c r="O10" s="1658"/>
      <c r="P10" s="1658"/>
      <c r="Q10" s="1658"/>
      <c r="R10" s="1658"/>
      <c r="S10" s="1658"/>
    </row>
    <row r="11" spans="1:19" ht="17.25" customHeight="1" x14ac:dyDescent="0.25">
      <c r="A11" s="1421">
        <v>1</v>
      </c>
      <c r="B11" s="2915" t="s">
        <v>1627</v>
      </c>
      <c r="C11" s="2915"/>
      <c r="D11" s="2915"/>
      <c r="E11" s="2915"/>
      <c r="F11" s="1382">
        <f>'Звіт   9'!H40+'Звіт   9'!H41</f>
        <v>3908.7</v>
      </c>
      <c r="G11" s="1419">
        <f>F11*100/$F$14</f>
        <v>18.199077712254827</v>
      </c>
      <c r="H11" s="1658"/>
      <c r="I11" s="1658"/>
      <c r="J11" s="1658"/>
      <c r="K11" s="1658"/>
      <c r="L11" s="1658"/>
      <c r="M11" s="1658"/>
      <c r="N11" s="1658"/>
      <c r="O11" s="1658"/>
      <c r="P11" s="1658"/>
      <c r="Q11" s="1658"/>
      <c r="R11" s="1658"/>
      <c r="S11" s="1658"/>
    </row>
    <row r="12" spans="1:19" ht="17.25" customHeight="1" x14ac:dyDescent="0.25">
      <c r="A12" s="1418" t="s">
        <v>82</v>
      </c>
      <c r="B12" s="2915" t="s">
        <v>1320</v>
      </c>
      <c r="C12" s="2915"/>
      <c r="D12" s="2915"/>
      <c r="E12" s="2915"/>
      <c r="F12" s="1382">
        <f>'Звіт   9'!H41</f>
        <v>3908.7</v>
      </c>
      <c r="G12" s="1419">
        <f>F12*100/$F$14</f>
        <v>18.199077712254827</v>
      </c>
      <c r="H12" s="1658"/>
      <c r="I12" s="1658"/>
      <c r="J12" s="1658"/>
      <c r="K12" s="1658"/>
      <c r="L12" s="1658"/>
      <c r="M12" s="1658"/>
      <c r="N12" s="1658"/>
      <c r="O12" s="1658"/>
      <c r="P12" s="1658"/>
      <c r="Q12" s="1658"/>
      <c r="R12" s="1658"/>
      <c r="S12" s="1658"/>
    </row>
    <row r="13" spans="1:19" ht="17.25" customHeight="1" x14ac:dyDescent="0.25">
      <c r="A13" s="1418" t="s">
        <v>1324</v>
      </c>
      <c r="B13" s="2916" t="s">
        <v>1321</v>
      </c>
      <c r="C13" s="2916"/>
      <c r="D13" s="2916"/>
      <c r="E13" s="2916"/>
      <c r="F13" s="1382">
        <f>('Звіт 1,2,3'!H19+'Звіт 1,2,3'!I19+'Звіт 1,2,3'!K19+'Звіт 1,2,3'!M19+'Звіт 1,2,3'!O19)/1000</f>
        <v>17568.761999999999</v>
      </c>
      <c r="G13" s="1419">
        <f>F13*100/$F$14</f>
        <v>81.800922287745166</v>
      </c>
      <c r="H13" s="1658"/>
      <c r="I13" s="1658"/>
      <c r="J13" s="1658"/>
      <c r="K13" s="1658"/>
      <c r="L13" s="1658"/>
      <c r="M13" s="1658"/>
      <c r="N13" s="1658"/>
      <c r="O13" s="1658"/>
      <c r="P13" s="1658"/>
      <c r="Q13" s="1658"/>
      <c r="R13" s="1658"/>
      <c r="S13" s="1658"/>
    </row>
    <row r="14" spans="1:19" ht="17.25" customHeight="1" x14ac:dyDescent="0.25">
      <c r="A14" s="1422" t="s">
        <v>278</v>
      </c>
      <c r="B14" s="2917" t="s">
        <v>1322</v>
      </c>
      <c r="C14" s="2917"/>
      <c r="D14" s="2917"/>
      <c r="E14" s="2917"/>
      <c r="F14" s="1407">
        <f>F12+F13</f>
        <v>21477.462</v>
      </c>
      <c r="G14" s="1423" t="s">
        <v>1323</v>
      </c>
      <c r="H14" s="1658"/>
      <c r="I14" s="1658"/>
      <c r="J14" s="1658"/>
      <c r="K14" s="1658"/>
      <c r="L14" s="1658"/>
      <c r="M14" s="1658"/>
      <c r="N14" s="1658"/>
      <c r="O14" s="1658"/>
      <c r="P14" s="1658"/>
      <c r="Q14" s="1658"/>
      <c r="R14" s="1658"/>
      <c r="S14" s="1658"/>
    </row>
    <row r="15" spans="1:19" ht="17.25" customHeight="1" x14ac:dyDescent="0.25">
      <c r="A15" s="1418" t="s">
        <v>1624</v>
      </c>
      <c r="B15" s="2916" t="s">
        <v>1325</v>
      </c>
      <c r="C15" s="2916"/>
      <c r="D15" s="2916"/>
      <c r="E15" s="2916"/>
      <c r="F15" s="1382">
        <f>F14-F16</f>
        <v>20665.862000000001</v>
      </c>
      <c r="G15" s="1419">
        <f>F15*100/$F$14</f>
        <v>96.221154994943078</v>
      </c>
      <c r="H15" s="1658"/>
      <c r="I15" s="1658"/>
      <c r="J15" s="1658"/>
      <c r="K15" s="1658"/>
      <c r="L15" s="1658"/>
      <c r="M15" s="1658"/>
      <c r="N15" s="1658"/>
      <c r="O15" s="1658"/>
      <c r="P15" s="1658"/>
      <c r="Q15" s="1658"/>
      <c r="R15" s="1658"/>
      <c r="S15" s="1658"/>
    </row>
    <row r="16" spans="1:19" ht="17.25" customHeight="1" x14ac:dyDescent="0.25">
      <c r="A16" s="1418" t="s">
        <v>1625</v>
      </c>
      <c r="B16" s="2916" t="s">
        <v>1326</v>
      </c>
      <c r="C16" s="2916"/>
      <c r="D16" s="2916"/>
      <c r="E16" s="2916"/>
      <c r="F16" s="1382">
        <f>'Звіт   9'!K41</f>
        <v>811.6</v>
      </c>
      <c r="G16" s="1419">
        <f>F16*100/$F$14</f>
        <v>3.7788450050569291</v>
      </c>
      <c r="H16" s="1658"/>
      <c r="I16" s="1658"/>
      <c r="J16" s="1658"/>
      <c r="K16" s="1658"/>
      <c r="L16" s="1658"/>
      <c r="M16" s="1658"/>
      <c r="N16" s="1658"/>
      <c r="O16" s="1658"/>
      <c r="P16" s="1658"/>
      <c r="Q16" s="1658"/>
      <c r="R16" s="1658"/>
      <c r="S16" s="1658"/>
    </row>
    <row r="17" spans="1:19" ht="17.25" customHeight="1" x14ac:dyDescent="0.25">
      <c r="A17" s="1418" t="s">
        <v>1626</v>
      </c>
      <c r="B17" s="2915" t="s">
        <v>1627</v>
      </c>
      <c r="C17" s="2915"/>
      <c r="D17" s="2915"/>
      <c r="E17" s="2915"/>
      <c r="F17" s="1382">
        <f>'Звіт   9'!K40+'Звіт   9'!K41</f>
        <v>811.6</v>
      </c>
      <c r="G17" s="1419">
        <f>F17*100/$F$14</f>
        <v>3.7788450050569291</v>
      </c>
      <c r="H17" s="1658"/>
      <c r="I17" s="1658"/>
      <c r="J17" s="1658"/>
      <c r="K17" s="1658"/>
      <c r="L17" s="1658"/>
      <c r="M17" s="1658"/>
      <c r="N17" s="1658"/>
      <c r="O17" s="1658"/>
      <c r="P17" s="1658"/>
      <c r="Q17" s="1658"/>
      <c r="R17" s="1658"/>
      <c r="S17" s="1658"/>
    </row>
    <row r="18" spans="1:19" ht="25.5" customHeight="1" x14ac:dyDescent="0.25">
      <c r="A18" s="1414"/>
      <c r="B18" s="1415"/>
      <c r="C18" s="1415"/>
      <c r="D18" s="1415"/>
      <c r="E18" s="1415"/>
      <c r="F18" s="1390"/>
      <c r="G18" s="1416"/>
      <c r="H18" s="1658"/>
      <c r="I18" s="1658"/>
      <c r="J18" s="1658"/>
      <c r="K18" s="1658"/>
      <c r="L18" s="1658"/>
      <c r="M18" s="1658"/>
      <c r="N18" s="1658"/>
      <c r="O18" s="1658"/>
      <c r="P18" s="1658"/>
      <c r="Q18" s="1658"/>
      <c r="R18" s="1658"/>
      <c r="S18" s="1658"/>
    </row>
    <row r="19" spans="1:19" x14ac:dyDescent="0.25">
      <c r="A19" s="2928" t="s">
        <v>1327</v>
      </c>
      <c r="B19" s="2928"/>
      <c r="C19" s="2928"/>
      <c r="D19" s="2928"/>
      <c r="E19" s="2928"/>
      <c r="F19" s="2928"/>
      <c r="G19" s="2928"/>
      <c r="H19" s="2900" t="s">
        <v>1312</v>
      </c>
      <c r="I19" s="2893" t="s">
        <v>1319</v>
      </c>
      <c r="J19" s="2894"/>
      <c r="K19" s="2899" t="s">
        <v>524</v>
      </c>
      <c r="L19" s="2899"/>
      <c r="M19" s="2899"/>
      <c r="N19" s="2899"/>
      <c r="O19" s="2899"/>
      <c r="P19" s="2899"/>
      <c r="Q19" s="1658"/>
      <c r="R19" s="1658"/>
      <c r="S19" s="1658"/>
    </row>
    <row r="20" spans="1:19" x14ac:dyDescent="0.25">
      <c r="A20" s="2929" t="s">
        <v>1328</v>
      </c>
      <c r="B20" s="2930"/>
      <c r="C20" s="2930"/>
      <c r="D20" s="2930"/>
      <c r="E20" s="2930"/>
      <c r="F20" s="2930"/>
      <c r="G20" s="2930"/>
      <c r="H20" s="2900"/>
      <c r="I20" s="2895"/>
      <c r="J20" s="2896"/>
      <c r="K20" s="2899" t="s">
        <v>207</v>
      </c>
      <c r="L20" s="2899"/>
      <c r="M20" s="2899" t="s">
        <v>188</v>
      </c>
      <c r="N20" s="2899"/>
      <c r="O20" s="2899" t="s">
        <v>13</v>
      </c>
      <c r="P20" s="2899"/>
      <c r="Q20" s="1658"/>
      <c r="R20" s="1658"/>
      <c r="S20" s="1658"/>
    </row>
    <row r="21" spans="1:19" ht="30" x14ac:dyDescent="0.25">
      <c r="A21" s="820" t="s">
        <v>6</v>
      </c>
      <c r="B21" s="2899" t="s">
        <v>1629</v>
      </c>
      <c r="C21" s="2899"/>
      <c r="D21" s="2899"/>
      <c r="E21" s="2899"/>
      <c r="F21" s="1380" t="s">
        <v>337</v>
      </c>
      <c r="G21" s="1417" t="s">
        <v>1318</v>
      </c>
      <c r="H21" s="2900"/>
      <c r="I21" s="2897"/>
      <c r="J21" s="2898"/>
      <c r="K21" s="1657" t="s">
        <v>81</v>
      </c>
      <c r="L21" s="1657" t="s">
        <v>1414</v>
      </c>
      <c r="M21" s="1657" t="s">
        <v>81</v>
      </c>
      <c r="N21" s="1657" t="s">
        <v>1414</v>
      </c>
      <c r="O21" s="1657" t="s">
        <v>81</v>
      </c>
      <c r="P21" s="1657" t="s">
        <v>1414</v>
      </c>
      <c r="Q21" s="1660" t="s">
        <v>1634</v>
      </c>
      <c r="R21" s="1658"/>
      <c r="S21" s="1658"/>
    </row>
    <row r="22" spans="1:19" ht="15" customHeight="1" x14ac:dyDescent="0.25">
      <c r="A22" s="1431">
        <v>1</v>
      </c>
      <c r="B22" s="2890" t="s">
        <v>1329</v>
      </c>
      <c r="C22" s="2890"/>
      <c r="D22" s="2890"/>
      <c r="E22" s="2890"/>
      <c r="F22" s="1392">
        <f>F23+F33+F34+F35+F36+F37</f>
        <v>35878.346999999994</v>
      </c>
      <c r="G22" s="1432">
        <f t="shared" ref="G22:G39" si="1">(F22*100/($F$23+$F$33+$F$34+$F$35+$F$36+$F$37))</f>
        <v>100</v>
      </c>
      <c r="H22" s="2892">
        <f>H23+I23+H33+H34+H37+I37+H35+H36</f>
        <v>23814.933999999997</v>
      </c>
      <c r="I22" s="2892"/>
      <c r="J22" s="2892"/>
      <c r="K22" s="2892">
        <f>K23+L23+M23+N23+O23+P23+K33+K34+K37+L37+M37+N37+O37+P37+K35+K36</f>
        <v>12063.412999999999</v>
      </c>
      <c r="L22" s="2892"/>
      <c r="M22" s="2892"/>
      <c r="N22" s="2892"/>
      <c r="O22" s="2892"/>
      <c r="P22" s="2892"/>
      <c r="Q22" s="1661">
        <f>F22-H22-K22</f>
        <v>0</v>
      </c>
      <c r="R22" s="1658"/>
      <c r="S22" s="1658"/>
    </row>
    <row r="23" spans="1:19" ht="15" customHeight="1" x14ac:dyDescent="0.25">
      <c r="A23" s="1405" t="s">
        <v>89</v>
      </c>
      <c r="B23" s="2890" t="s">
        <v>1330</v>
      </c>
      <c r="C23" s="2890"/>
      <c r="D23" s="2890"/>
      <c r="E23" s="2890"/>
      <c r="F23" s="1392">
        <f>'Звіт 1,2,3'!G29/1000</f>
        <v>10833.691000000001</v>
      </c>
      <c r="G23" s="1432">
        <f t="shared" si="1"/>
        <v>30.195624675796804</v>
      </c>
      <c r="H23" s="821">
        <f>'Звіт 1,2,3'!H29/1000</f>
        <v>1226.6020000000001</v>
      </c>
      <c r="I23" s="2902">
        <f>'Звіт 1,2,3'!O29/1000</f>
        <v>0</v>
      </c>
      <c r="J23" s="2902"/>
      <c r="K23" s="821">
        <f>'Звіт 1,2,3'!I29/1000</f>
        <v>0</v>
      </c>
      <c r="L23" s="1403">
        <f>'Звіт 1,2,3'!J29/1000</f>
        <v>9068.3029999999999</v>
      </c>
      <c r="M23" s="821">
        <f>'Звіт 1,2,3'!K29/1000</f>
        <v>0</v>
      </c>
      <c r="N23" s="1403">
        <f>'Звіт 1,2,3'!L29/1000</f>
        <v>9.5000000000000001E-2</v>
      </c>
      <c r="O23" s="821">
        <f>'Звіт 1,2,3'!M29/1000</f>
        <v>61.274999999999999</v>
      </c>
      <c r="P23" s="1403">
        <f>'Звіт 1,2,3'!N29/1000</f>
        <v>477.416</v>
      </c>
      <c r="Q23" s="1662">
        <f>F23-H23-I23-K23-L23-M23-N23-O23-P23</f>
        <v>0</v>
      </c>
      <c r="R23" s="1658"/>
      <c r="S23" s="1658"/>
    </row>
    <row r="24" spans="1:19" ht="15" customHeight="1" x14ac:dyDescent="0.25">
      <c r="A24" s="1654" t="s">
        <v>1331</v>
      </c>
      <c r="B24" s="2921" t="str">
        <f>'Звіт 1,2,3'!B31:E31</f>
        <v>Лікарські засоби</v>
      </c>
      <c r="C24" s="2921"/>
      <c r="D24" s="2921"/>
      <c r="E24" s="2921"/>
      <c r="F24" s="1382">
        <f>'Звіт 1,2,3'!G31/1000</f>
        <v>9696.1360000000004</v>
      </c>
      <c r="G24" s="1430">
        <f t="shared" si="1"/>
        <v>27.025035462196747</v>
      </c>
      <c r="H24" s="1403">
        <f>'Звіт 1,2,3'!H31/1000</f>
        <v>231.773</v>
      </c>
      <c r="I24" s="2901">
        <f>'Звіт 1,2,3'!O31/1000</f>
        <v>0</v>
      </c>
      <c r="J24" s="2901"/>
      <c r="K24" s="1403">
        <f>'Звіт 1,2,3'!I31/1000</f>
        <v>0</v>
      </c>
      <c r="L24" s="1403">
        <f>'Звіт 1,2,3'!J31/1000</f>
        <v>9068.3029999999999</v>
      </c>
      <c r="M24" s="1403">
        <f>'Звіт 1,2,3'!K31/1000</f>
        <v>0</v>
      </c>
      <c r="N24" s="1403">
        <f>'Звіт 1,2,3'!L31/1000</f>
        <v>0</v>
      </c>
      <c r="O24" s="1403">
        <f>'Звіт 1,2,3'!M31/1000</f>
        <v>0</v>
      </c>
      <c r="P24" s="1403">
        <f>'Звіт 1,2,3'!N31/1000</f>
        <v>396.06</v>
      </c>
      <c r="Q24" s="1662">
        <f t="shared" ref="Q24:Q39" si="2">F24-H24-I24-K24-L24-M24-N24-O24-P24</f>
        <v>1.3073986337985843E-12</v>
      </c>
      <c r="R24" s="1658"/>
      <c r="S24" s="1658"/>
    </row>
    <row r="25" spans="1:19" ht="15" customHeight="1" x14ac:dyDescent="0.25">
      <c r="A25" s="1654" t="s">
        <v>1332</v>
      </c>
      <c r="B25" s="2921" t="s">
        <v>1427</v>
      </c>
      <c r="C25" s="2921"/>
      <c r="D25" s="2921"/>
      <c r="E25" s="2921"/>
      <c r="F25" s="1382">
        <f>'Звіт 1,2,3'!G32/1000</f>
        <v>47.122</v>
      </c>
      <c r="G25" s="1430">
        <f t="shared" si="1"/>
        <v>0.13133826929094589</v>
      </c>
      <c r="H25" s="1403">
        <f>'Звіт 1,2,3'!H32/1000</f>
        <v>31.145</v>
      </c>
      <c r="I25" s="2884">
        <f>'Звіт 1,2,3'!O32/1000</f>
        <v>0</v>
      </c>
      <c r="J25" s="2886"/>
      <c r="K25" s="1403">
        <f>'Звіт 1,2,3'!I32/1000</f>
        <v>0</v>
      </c>
      <c r="L25" s="1403">
        <f>'Звіт 1,2,3'!J32/1000</f>
        <v>0</v>
      </c>
      <c r="M25" s="1403">
        <f>'Звіт 1,2,3'!K32/1000</f>
        <v>0</v>
      </c>
      <c r="N25" s="1403">
        <f>'Звіт 1,2,3'!L32/1000</f>
        <v>0</v>
      </c>
      <c r="O25" s="1403">
        <f>'Звіт 1,2,3'!M32/1000</f>
        <v>0</v>
      </c>
      <c r="P25" s="1403">
        <f>'Звіт 1,2,3'!N32/1000</f>
        <v>15.977</v>
      </c>
      <c r="Q25" s="1662">
        <f t="shared" si="2"/>
        <v>0</v>
      </c>
      <c r="R25" s="1658"/>
      <c r="S25" s="1658"/>
    </row>
    <row r="26" spans="1:19" ht="15" customHeight="1" x14ac:dyDescent="0.25">
      <c r="A26" s="1654" t="s">
        <v>1333</v>
      </c>
      <c r="B26" s="2921" t="str">
        <f>'Звіт 1,2,3'!B33:E33</f>
        <v>Вироби медичного призначення та допоміжні засоби слуху, зору, руху, засоби протезування для кардіології, ендопротезів, інші протези тощо</v>
      </c>
      <c r="C26" s="2921"/>
      <c r="D26" s="2921"/>
      <c r="E26" s="2921"/>
      <c r="F26" s="1382">
        <f>'Звіт 1,2,3'!G33/1000</f>
        <v>0</v>
      </c>
      <c r="G26" s="1430">
        <f t="shared" si="1"/>
        <v>0</v>
      </c>
      <c r="H26" s="1403">
        <f>'Звіт 1,2,3'!H33/1000</f>
        <v>0</v>
      </c>
      <c r="I26" s="2884">
        <f>'Звіт 1,2,3'!O33/1000</f>
        <v>0</v>
      </c>
      <c r="J26" s="2886"/>
      <c r="K26" s="1403">
        <f>'Звіт 1,2,3'!I33/1000</f>
        <v>0</v>
      </c>
      <c r="L26" s="1403">
        <f>'Звіт 1,2,3'!J33/1000</f>
        <v>0</v>
      </c>
      <c r="M26" s="1403">
        <f>'Звіт 1,2,3'!K33/1000</f>
        <v>0</v>
      </c>
      <c r="N26" s="1403">
        <f>'Звіт 1,2,3'!L33/1000</f>
        <v>0</v>
      </c>
      <c r="O26" s="1403">
        <f>'Звіт 1,2,3'!M33/1000</f>
        <v>0</v>
      </c>
      <c r="P26" s="1403">
        <f>'Звіт 1,2,3'!N33/1000</f>
        <v>0</v>
      </c>
      <c r="Q26" s="1662">
        <f t="shared" si="2"/>
        <v>0</v>
      </c>
      <c r="R26" s="1658"/>
      <c r="S26" s="1658"/>
    </row>
    <row r="27" spans="1:19" ht="15" customHeight="1" x14ac:dyDescent="0.25">
      <c r="A27" s="1404" t="s">
        <v>1334</v>
      </c>
      <c r="B27" s="2921" t="str">
        <f>'Звіт 1,2,3'!B34:E34</f>
        <v>Імунобіологічні препарати</v>
      </c>
      <c r="C27" s="2921"/>
      <c r="D27" s="2921"/>
      <c r="E27" s="2921"/>
      <c r="F27" s="1382">
        <f>'Звіт 1,2,3'!G34/1000</f>
        <v>0</v>
      </c>
      <c r="G27" s="1430">
        <f t="shared" si="1"/>
        <v>0</v>
      </c>
      <c r="H27" s="1403">
        <f>'Звіт 1,2,3'!H34/1000</f>
        <v>0</v>
      </c>
      <c r="I27" s="2884">
        <f>'Звіт 1,2,3'!O34/1000</f>
        <v>0</v>
      </c>
      <c r="J27" s="2886"/>
      <c r="K27" s="1403">
        <f>'Звіт 1,2,3'!I34/1000</f>
        <v>0</v>
      </c>
      <c r="L27" s="1403">
        <f>'Звіт 1,2,3'!J34/1000</f>
        <v>0</v>
      </c>
      <c r="M27" s="1403">
        <f>'Звіт 1,2,3'!K34/1000</f>
        <v>0</v>
      </c>
      <c r="N27" s="1403">
        <f>'Звіт 1,2,3'!L34/1000</f>
        <v>0</v>
      </c>
      <c r="O27" s="1403">
        <f>'Звіт 1,2,3'!M34/1000</f>
        <v>0</v>
      </c>
      <c r="P27" s="1403">
        <f>'Звіт 1,2,3'!N34/1000</f>
        <v>0</v>
      </c>
      <c r="Q27" s="1662">
        <f t="shared" si="2"/>
        <v>0</v>
      </c>
      <c r="R27" s="1658"/>
      <c r="S27" s="1658"/>
    </row>
    <row r="28" spans="1:19" ht="15" customHeight="1" x14ac:dyDescent="0.25">
      <c r="A28" s="1654" t="s">
        <v>1335</v>
      </c>
      <c r="B28" s="2921" t="str">
        <f>'Звіт 1,2,3'!B35:E35</f>
        <v>Лікувальне харчування</v>
      </c>
      <c r="C28" s="2921"/>
      <c r="D28" s="2921"/>
      <c r="E28" s="2921"/>
      <c r="F28" s="1382">
        <f>'Звіт 1,2,3'!G35/1000</f>
        <v>0</v>
      </c>
      <c r="G28" s="1430">
        <f t="shared" si="1"/>
        <v>0</v>
      </c>
      <c r="H28" s="1403">
        <f>'Звіт 1,2,3'!H35/1000</f>
        <v>0</v>
      </c>
      <c r="I28" s="2884">
        <f>'Звіт 1,2,3'!O35/1000</f>
        <v>0</v>
      </c>
      <c r="J28" s="2886"/>
      <c r="K28" s="1403">
        <f>'Звіт 1,2,3'!I35/1000</f>
        <v>0</v>
      </c>
      <c r="L28" s="1403">
        <f>'Звіт 1,2,3'!J35/1000</f>
        <v>0</v>
      </c>
      <c r="M28" s="1403">
        <f>'Звіт 1,2,3'!K35/1000</f>
        <v>0</v>
      </c>
      <c r="N28" s="1403">
        <f>'Звіт 1,2,3'!L35/1000</f>
        <v>0</v>
      </c>
      <c r="O28" s="1403">
        <f>'Звіт 1,2,3'!M35/1000</f>
        <v>0</v>
      </c>
      <c r="P28" s="1403">
        <f>'Звіт 1,2,3'!N35/1000</f>
        <v>0</v>
      </c>
      <c r="Q28" s="1662">
        <f t="shared" si="2"/>
        <v>0</v>
      </c>
      <c r="R28" s="1658"/>
      <c r="S28" s="1658"/>
    </row>
    <row r="29" spans="1:19" ht="15" customHeight="1" x14ac:dyDescent="0.25">
      <c r="A29" s="1654" t="s">
        <v>1336</v>
      </c>
      <c r="B29" s="2921" t="str">
        <f>'Звіт 1,2,3'!B36:E36</f>
        <v>Дизенфекційні засоби</v>
      </c>
      <c r="C29" s="2921"/>
      <c r="D29" s="2921"/>
      <c r="E29" s="2921"/>
      <c r="F29" s="1382">
        <f>'Звіт 1,2,3'!G36/1000</f>
        <v>0</v>
      </c>
      <c r="G29" s="1430">
        <f t="shared" si="1"/>
        <v>0</v>
      </c>
      <c r="H29" s="1403">
        <f>'Звіт 1,2,3'!H36/1000</f>
        <v>0</v>
      </c>
      <c r="I29" s="2884">
        <f>'Звіт 1,2,3'!O36/1000</f>
        <v>0</v>
      </c>
      <c r="J29" s="2886"/>
      <c r="K29" s="1403">
        <f>'Звіт 1,2,3'!I36/1000</f>
        <v>0</v>
      </c>
      <c r="L29" s="1403">
        <f>'Звіт 1,2,3'!J36/1000</f>
        <v>0</v>
      </c>
      <c r="M29" s="1403">
        <f>'Звіт 1,2,3'!K36/1000</f>
        <v>0</v>
      </c>
      <c r="N29" s="1403">
        <f>'Звіт 1,2,3'!L36/1000</f>
        <v>0</v>
      </c>
      <c r="O29" s="1403">
        <f>'Звіт 1,2,3'!M36/1000</f>
        <v>0</v>
      </c>
      <c r="P29" s="1403">
        <f>'Звіт 1,2,3'!N36/1000</f>
        <v>0</v>
      </c>
      <c r="Q29" s="1662">
        <f t="shared" si="2"/>
        <v>0</v>
      </c>
      <c r="R29" s="1658"/>
      <c r="S29" s="1658"/>
    </row>
    <row r="30" spans="1:19" ht="15" customHeight="1" x14ac:dyDescent="0.25">
      <c r="A30" s="1654" t="s">
        <v>1424</v>
      </c>
      <c r="B30" s="2921" t="str">
        <f>'Звіт 1,2,3'!B37:E37</f>
        <v>Засоби індивідуального захисту</v>
      </c>
      <c r="C30" s="2921"/>
      <c r="D30" s="2921"/>
      <c r="E30" s="2921"/>
      <c r="F30" s="1382">
        <f>'Звіт 1,2,3'!G37/1000</f>
        <v>289.726</v>
      </c>
      <c r="G30" s="1430">
        <f t="shared" si="1"/>
        <v>0.80752326744596126</v>
      </c>
      <c r="H30" s="1403">
        <f>'Звіт 1,2,3'!H37/1000</f>
        <v>250.8</v>
      </c>
      <c r="I30" s="2884">
        <f>'Звіт 1,2,3'!O37/1000</f>
        <v>0</v>
      </c>
      <c r="J30" s="2886"/>
      <c r="K30" s="1403">
        <f>'Звіт 1,2,3'!I37/1000</f>
        <v>0</v>
      </c>
      <c r="L30" s="1403">
        <f>'Звіт 1,2,3'!J37/1000</f>
        <v>0</v>
      </c>
      <c r="M30" s="1403">
        <f>'Звіт 1,2,3'!K37/1000</f>
        <v>0</v>
      </c>
      <c r="N30" s="1403">
        <f>'Звіт 1,2,3'!L37/1000</f>
        <v>0</v>
      </c>
      <c r="O30" s="1403">
        <f>'Звіт 1,2,3'!M37/1000</f>
        <v>0</v>
      </c>
      <c r="P30" s="1403">
        <f>'Звіт 1,2,3'!N37/1000</f>
        <v>38.926000000000002</v>
      </c>
      <c r="Q30" s="1662">
        <f t="shared" si="2"/>
        <v>0</v>
      </c>
      <c r="R30" s="1658"/>
      <c r="S30" s="1658"/>
    </row>
    <row r="31" spans="1:19" ht="15" customHeight="1" x14ac:dyDescent="0.25">
      <c r="A31" s="1654" t="s">
        <v>1425</v>
      </c>
      <c r="B31" s="2921" t="str">
        <f>'Звіт 1,2,3'!B38:E38</f>
        <v>Продукти харчування</v>
      </c>
      <c r="C31" s="2921"/>
      <c r="D31" s="2921"/>
      <c r="E31" s="2921"/>
      <c r="F31" s="1382">
        <f>'Звіт 1,2,3'!G38/1000</f>
        <v>610.39</v>
      </c>
      <c r="G31" s="1430">
        <f t="shared" si="1"/>
        <v>1.7012768174631905</v>
      </c>
      <c r="H31" s="1403">
        <f>'Звіт 1,2,3'!H38/1000</f>
        <v>610.39</v>
      </c>
      <c r="I31" s="2884">
        <f>'Звіт 1,2,3'!O38/1000</f>
        <v>0</v>
      </c>
      <c r="J31" s="2886"/>
      <c r="K31" s="1403">
        <f>'Звіт 1,2,3'!I38/1000</f>
        <v>0</v>
      </c>
      <c r="L31" s="1403">
        <f>'Звіт 1,2,3'!J38/1000</f>
        <v>0</v>
      </c>
      <c r="M31" s="1403">
        <f>'Звіт 1,2,3'!K38/1000</f>
        <v>0</v>
      </c>
      <c r="N31" s="1403">
        <f>'Звіт 1,2,3'!L38/1000</f>
        <v>0</v>
      </c>
      <c r="O31" s="1403">
        <f>'Звіт 1,2,3'!M38/1000</f>
        <v>0</v>
      </c>
      <c r="P31" s="1403">
        <f>'Звіт 1,2,3'!N38/1000</f>
        <v>0</v>
      </c>
      <c r="Q31" s="1662">
        <f t="shared" si="2"/>
        <v>0</v>
      </c>
      <c r="R31" s="1658"/>
      <c r="S31" s="1658"/>
    </row>
    <row r="32" spans="1:19" ht="15" customHeight="1" x14ac:dyDescent="0.25">
      <c r="A32" s="1654" t="s">
        <v>1426</v>
      </c>
      <c r="B32" s="2921" t="s">
        <v>1337</v>
      </c>
      <c r="C32" s="2921"/>
      <c r="D32" s="2921"/>
      <c r="E32" s="2921"/>
      <c r="F32" s="1382">
        <f>F23-F24-F25-F26-F27-F28-F29-F30-F31</f>
        <v>190.31700000000023</v>
      </c>
      <c r="G32" s="1430">
        <f t="shared" si="1"/>
        <v>0.53045085939996139</v>
      </c>
      <c r="H32" s="1403">
        <f>H23-H24-H25-H26-H27-H28-H29-H30-H31</f>
        <v>102.49400000000003</v>
      </c>
      <c r="I32" s="2884">
        <f>I23-I24-I25-I26-I27-I28-I29-I30-I31</f>
        <v>0</v>
      </c>
      <c r="J32" s="2886"/>
      <c r="K32" s="1403">
        <f t="shared" ref="K32:P32" si="3">K23-K24-K25-K26-K27-K28-K29-K30-K31</f>
        <v>0</v>
      </c>
      <c r="L32" s="1403">
        <f t="shared" si="3"/>
        <v>0</v>
      </c>
      <c r="M32" s="1403">
        <f t="shared" si="3"/>
        <v>0</v>
      </c>
      <c r="N32" s="1403">
        <f t="shared" si="3"/>
        <v>9.5000000000000001E-2</v>
      </c>
      <c r="O32" s="1403">
        <f t="shared" si="3"/>
        <v>61.274999999999999</v>
      </c>
      <c r="P32" s="1403">
        <f t="shared" si="3"/>
        <v>26.452999999999989</v>
      </c>
      <c r="Q32" s="1662">
        <f t="shared" si="2"/>
        <v>2.2026824808563106E-13</v>
      </c>
      <c r="R32" s="1658"/>
      <c r="S32" s="1658"/>
    </row>
    <row r="33" spans="1:19" ht="15" customHeight="1" x14ac:dyDescent="0.25">
      <c r="A33" s="1405" t="s">
        <v>90</v>
      </c>
      <c r="B33" s="2890" t="s">
        <v>1338</v>
      </c>
      <c r="C33" s="2890"/>
      <c r="D33" s="2890"/>
      <c r="E33" s="2890"/>
      <c r="F33" s="1382">
        <f>('Звіт   4,5,6'!E39+'Звіт   4,5,6'!E40+'Звіт   4,5,6'!E41)/1000</f>
        <v>20653.082999999999</v>
      </c>
      <c r="G33" s="1432">
        <f t="shared" si="1"/>
        <v>57.564198818858635</v>
      </c>
      <c r="H33" s="2884">
        <f>F33-K33</f>
        <v>20653.082999999999</v>
      </c>
      <c r="I33" s="2885"/>
      <c r="J33" s="2886"/>
      <c r="K33" s="2884">
        <f>('Звіт   4,5,6'!O39+'Звіт   4,5,6'!O40+'Звіт   4,5,6'!O41)/1000</f>
        <v>0</v>
      </c>
      <c r="L33" s="2885"/>
      <c r="M33" s="2885"/>
      <c r="N33" s="2885"/>
      <c r="O33" s="2885"/>
      <c r="P33" s="2886"/>
      <c r="Q33" s="1662">
        <f t="shared" si="2"/>
        <v>0</v>
      </c>
      <c r="R33" s="1658"/>
      <c r="S33" s="1658"/>
    </row>
    <row r="34" spans="1:19" ht="15" customHeight="1" x14ac:dyDescent="0.25">
      <c r="A34" s="1405" t="s">
        <v>91</v>
      </c>
      <c r="B34" s="2890" t="s">
        <v>1339</v>
      </c>
      <c r="C34" s="2890"/>
      <c r="D34" s="2890"/>
      <c r="E34" s="2890"/>
      <c r="F34" s="1382">
        <f>('Звіт   4,5,6'!E66/1000)</f>
        <v>1907.941</v>
      </c>
      <c r="G34" s="1432">
        <f t="shared" si="1"/>
        <v>5.3178063080776834</v>
      </c>
      <c r="H34" s="2884">
        <f>F34-K34</f>
        <v>1907.941</v>
      </c>
      <c r="I34" s="2885"/>
      <c r="J34" s="2886"/>
      <c r="K34" s="2884">
        <f>'Звіт   4,5,6'!O66/1000</f>
        <v>0</v>
      </c>
      <c r="L34" s="2885"/>
      <c r="M34" s="2885"/>
      <c r="N34" s="2885"/>
      <c r="O34" s="2885"/>
      <c r="P34" s="2886"/>
      <c r="Q34" s="1662">
        <f t="shared" si="2"/>
        <v>0</v>
      </c>
      <c r="R34" s="1658"/>
      <c r="S34" s="1658"/>
    </row>
    <row r="35" spans="1:19" ht="15" customHeight="1" x14ac:dyDescent="0.25">
      <c r="A35" s="1405" t="s">
        <v>1340</v>
      </c>
      <c r="B35" s="2890" t="s">
        <v>211</v>
      </c>
      <c r="C35" s="2890"/>
      <c r="D35" s="2890"/>
      <c r="E35" s="2890"/>
      <c r="F35" s="1382">
        <f>'Звіт   4,5,6'!E55/1000</f>
        <v>2456.3240000000001</v>
      </c>
      <c r="G35" s="1432">
        <f t="shared" si="1"/>
        <v>6.8462574376684646</v>
      </c>
      <c r="H35" s="2884">
        <f>F35-K35</f>
        <v>0</v>
      </c>
      <c r="I35" s="2885"/>
      <c r="J35" s="2886"/>
      <c r="K35" s="2881">
        <f>'Звіт   4,5,6'!O55/1000</f>
        <v>2456.3240000000001</v>
      </c>
      <c r="L35" s="2882"/>
      <c r="M35" s="2882"/>
      <c r="N35" s="2882"/>
      <c r="O35" s="2882"/>
      <c r="P35" s="2883"/>
      <c r="Q35" s="1662">
        <f t="shared" si="2"/>
        <v>0</v>
      </c>
      <c r="R35" s="1658"/>
      <c r="S35" s="1658"/>
    </row>
    <row r="36" spans="1:19" ht="12.75" customHeight="1" x14ac:dyDescent="0.25">
      <c r="A36" s="1405" t="s">
        <v>1341</v>
      </c>
      <c r="B36" s="2890" t="s">
        <v>683</v>
      </c>
      <c r="C36" s="2890"/>
      <c r="D36" s="2890"/>
      <c r="E36" s="2890"/>
      <c r="F36" s="1382">
        <f>'Звіт   4,5,6'!E58/1000</f>
        <v>0</v>
      </c>
      <c r="G36" s="1432">
        <f t="shared" si="1"/>
        <v>0</v>
      </c>
      <c r="H36" s="2884">
        <f>F36-K36</f>
        <v>0</v>
      </c>
      <c r="I36" s="2885"/>
      <c r="J36" s="2886"/>
      <c r="K36" s="2881">
        <f>'Звіт   4,5,6'!O58/1000</f>
        <v>0</v>
      </c>
      <c r="L36" s="2882"/>
      <c r="M36" s="2882"/>
      <c r="N36" s="2882"/>
      <c r="O36" s="2882"/>
      <c r="P36" s="2883"/>
      <c r="Q36" s="1662">
        <f t="shared" si="2"/>
        <v>0</v>
      </c>
      <c r="R36" s="1658"/>
      <c r="S36" s="1658"/>
    </row>
    <row r="37" spans="1:19" ht="15" customHeight="1" x14ac:dyDescent="0.25">
      <c r="A37" s="1405" t="s">
        <v>1342</v>
      </c>
      <c r="B37" s="2890" t="s">
        <v>1343</v>
      </c>
      <c r="C37" s="2890"/>
      <c r="D37" s="2890"/>
      <c r="E37" s="2890"/>
      <c r="F37" s="1382">
        <f>'Звіт 1,2,3'!G70/1000</f>
        <v>27.308</v>
      </c>
      <c r="G37" s="1432">
        <f t="shared" si="1"/>
        <v>7.6112759598428559E-2</v>
      </c>
      <c r="H37" s="821">
        <f>'Звіт 1,2,3'!H70/1000</f>
        <v>27.308</v>
      </c>
      <c r="I37" s="2903">
        <f>'Звіт 1,2,3'!O70/1000</f>
        <v>0</v>
      </c>
      <c r="J37" s="2904"/>
      <c r="K37" s="821">
        <f>'Звіт 1,2,3'!I70/1000</f>
        <v>0</v>
      </c>
      <c r="L37" s="1403">
        <f>'Звіт 1,2,3'!J70/1000</f>
        <v>0</v>
      </c>
      <c r="M37" s="821">
        <f>'Звіт 1,2,3'!K70/1000</f>
        <v>0</v>
      </c>
      <c r="N37" s="1403">
        <f>'Звіт 1,2,3'!L70/1000</f>
        <v>0</v>
      </c>
      <c r="O37" s="821">
        <f>'Звіт 1,2,3'!M70/1000</f>
        <v>0</v>
      </c>
      <c r="P37" s="1403">
        <f>'Звіт 1,2,3'!N70/1000</f>
        <v>0</v>
      </c>
      <c r="Q37" s="1662">
        <f t="shared" si="2"/>
        <v>0</v>
      </c>
      <c r="R37" s="1658"/>
      <c r="S37" s="1658"/>
    </row>
    <row r="38" spans="1:19" ht="15" customHeight="1" x14ac:dyDescent="0.25">
      <c r="A38" s="1654" t="s">
        <v>1344</v>
      </c>
      <c r="B38" s="2891" t="s">
        <v>1345</v>
      </c>
      <c r="C38" s="2891"/>
      <c r="D38" s="2891"/>
      <c r="E38" s="2891"/>
      <c r="F38" s="1382">
        <f>('Звіт 1,2,3'!G72+'Звіт 1,2,3'!G76+'Звіт 1,2,3'!G79+'Звіт 1,2,3'!G81)/1000</f>
        <v>27.308</v>
      </c>
      <c r="G38" s="1430">
        <f t="shared" si="1"/>
        <v>7.6112759598428559E-2</v>
      </c>
      <c r="H38" s="1403">
        <f>('Звіт 1,2,3'!H72+'Звіт 1,2,3'!H76+'Звіт 1,2,3'!H79+'Звіт 1,2,3'!H81)/1000</f>
        <v>27.308</v>
      </c>
      <c r="I38" s="2884">
        <f>('Звіт 1,2,3'!O72+'Звіт 1,2,3'!O76+'Звіт 1,2,3'!O79+'Звіт 1,2,3'!O81)/1000</f>
        <v>0</v>
      </c>
      <c r="J38" s="2886"/>
      <c r="K38" s="1403">
        <f>('Звіт 1,2,3'!I72+'Звіт 1,2,3'!I76+'Звіт 1,2,3'!I79+'Звіт 1,2,3'!I81)/1000</f>
        <v>0</v>
      </c>
      <c r="L38" s="1403">
        <f>('Звіт 1,2,3'!J72+'Звіт 1,2,3'!J76+'Звіт 1,2,3'!J79+'Звіт 1,2,3'!J81)/1000</f>
        <v>0</v>
      </c>
      <c r="M38" s="1403">
        <f>('Звіт 1,2,3'!K72+'Звіт 1,2,3'!K76+'Звіт 1,2,3'!K79+'Звіт 1,2,3'!K81)/1000</f>
        <v>0</v>
      </c>
      <c r="N38" s="1403">
        <f>('Звіт 1,2,3'!L72+'Звіт 1,2,3'!L76+'Звіт 1,2,3'!L79+'Звіт 1,2,3'!L81)/1000</f>
        <v>0</v>
      </c>
      <c r="O38" s="1403">
        <f>('Звіт 1,2,3'!M72+'Звіт 1,2,3'!M76+'Звіт 1,2,3'!M79+'Звіт 1,2,3'!M81)/1000</f>
        <v>0</v>
      </c>
      <c r="P38" s="1403">
        <f>('Звіт 1,2,3'!N72+'Звіт 1,2,3'!N76+'Звіт 1,2,3'!N79+'Звіт 1,2,3'!N81)/1000</f>
        <v>0</v>
      </c>
      <c r="Q38" s="1662">
        <f t="shared" si="2"/>
        <v>0</v>
      </c>
      <c r="R38" s="1658"/>
      <c r="S38" s="1658"/>
    </row>
    <row r="39" spans="1:19" ht="15" customHeight="1" x14ac:dyDescent="0.25">
      <c r="A39" s="1654" t="s">
        <v>1346</v>
      </c>
      <c r="B39" s="2891" t="s">
        <v>1347</v>
      </c>
      <c r="C39" s="2891"/>
      <c r="D39" s="2891"/>
      <c r="E39" s="2891"/>
      <c r="F39" s="1382">
        <f>F37-F38</f>
        <v>0</v>
      </c>
      <c r="G39" s="1430">
        <f t="shared" si="1"/>
        <v>0</v>
      </c>
      <c r="H39" s="1403">
        <f>H37-H38</f>
        <v>0</v>
      </c>
      <c r="I39" s="2884">
        <f>I37-I38</f>
        <v>0</v>
      </c>
      <c r="J39" s="2886"/>
      <c r="K39" s="1403">
        <f t="shared" ref="K39:P39" si="4">K37-K38</f>
        <v>0</v>
      </c>
      <c r="L39" s="1403">
        <f t="shared" si="4"/>
        <v>0</v>
      </c>
      <c r="M39" s="1403">
        <f t="shared" si="4"/>
        <v>0</v>
      </c>
      <c r="N39" s="1403">
        <f t="shared" si="4"/>
        <v>0</v>
      </c>
      <c r="O39" s="1403">
        <f t="shared" si="4"/>
        <v>0</v>
      </c>
      <c r="P39" s="1403">
        <f t="shared" si="4"/>
        <v>0</v>
      </c>
      <c r="Q39" s="1662">
        <f t="shared" si="2"/>
        <v>0</v>
      </c>
      <c r="R39" s="1658"/>
      <c r="S39" s="1658"/>
    </row>
    <row r="40" spans="1:19" x14ac:dyDescent="0.25">
      <c r="A40" s="1654"/>
      <c r="B40" s="2920" t="s">
        <v>1419</v>
      </c>
      <c r="C40" s="2920"/>
      <c r="D40" s="2920"/>
      <c r="E40" s="2920"/>
      <c r="F40" s="1393">
        <f>Аналіз!J73</f>
        <v>11.827235273731713</v>
      </c>
      <c r="G40" s="1430"/>
      <c r="H40" s="1658"/>
      <c r="I40" s="1658"/>
      <c r="J40" s="1658"/>
      <c r="K40" s="1658"/>
      <c r="L40" s="1658"/>
      <c r="M40" s="1658"/>
      <c r="N40" s="1658"/>
      <c r="O40" s="1658"/>
      <c r="P40" s="1658"/>
      <c r="Q40" s="1658"/>
      <c r="R40" s="1658"/>
      <c r="S40" s="1658"/>
    </row>
    <row r="41" spans="1:19" x14ac:dyDescent="0.25">
      <c r="A41" s="2928" t="s">
        <v>1348</v>
      </c>
      <c r="B41" s="2928"/>
      <c r="C41" s="2928"/>
      <c r="D41" s="2928"/>
      <c r="E41" s="2928"/>
      <c r="F41" s="2928"/>
      <c r="G41" s="2928"/>
      <c r="H41" s="1658"/>
      <c r="I41" s="1658"/>
      <c r="J41" s="1658"/>
      <c r="K41" s="1658"/>
      <c r="L41" s="1658"/>
      <c r="M41" s="1658"/>
      <c r="N41" s="1658"/>
      <c r="O41" s="1658"/>
      <c r="P41" s="1658"/>
      <c r="Q41" s="1658"/>
      <c r="R41" s="1658"/>
      <c r="S41" s="1658"/>
    </row>
    <row r="42" spans="1:19" x14ac:dyDescent="0.25">
      <c r="A42" s="2931" t="s">
        <v>1349</v>
      </c>
      <c r="B42" s="2932"/>
      <c r="C42" s="2932"/>
      <c r="D42" s="2932"/>
      <c r="E42" s="2932"/>
      <c r="F42" s="2932"/>
      <c r="G42" s="2932"/>
      <c r="H42" s="1658"/>
      <c r="I42" s="1658"/>
      <c r="J42" s="1658"/>
      <c r="K42" s="1658"/>
      <c r="L42" s="1658"/>
      <c r="M42" s="1658"/>
      <c r="N42" s="1658"/>
      <c r="O42" s="1658"/>
      <c r="P42" s="1658"/>
      <c r="Q42" s="1658"/>
      <c r="R42" s="1658"/>
      <c r="S42" s="1658"/>
    </row>
    <row r="43" spans="1:19" x14ac:dyDescent="0.25">
      <c r="A43" s="819" t="s">
        <v>6</v>
      </c>
      <c r="B43" s="2911" t="s">
        <v>1629</v>
      </c>
      <c r="C43" s="2911"/>
      <c r="D43" s="2911"/>
      <c r="E43" s="2911"/>
      <c r="F43" s="1657" t="s">
        <v>337</v>
      </c>
      <c r="G43" s="1656" t="s">
        <v>1318</v>
      </c>
      <c r="H43" s="1658"/>
      <c r="I43" s="1658"/>
      <c r="J43" s="1658"/>
      <c r="K43" s="1658"/>
      <c r="L43" s="1658"/>
      <c r="M43" s="1658"/>
      <c r="N43" s="1658"/>
      <c r="O43" s="1658"/>
      <c r="P43" s="1658"/>
      <c r="Q43" s="1658"/>
      <c r="R43" s="1658"/>
      <c r="S43" s="1658"/>
    </row>
    <row r="44" spans="1:19" x14ac:dyDescent="0.25">
      <c r="A44" s="1394" t="s">
        <v>277</v>
      </c>
      <c r="B44" s="2933" t="s">
        <v>1856</v>
      </c>
      <c r="C44" s="2933"/>
      <c r="D44" s="2933"/>
      <c r="E44" s="2933"/>
      <c r="F44" s="1395">
        <f>F45+F51+F55+F57</f>
        <v>23081.834999999995</v>
      </c>
      <c r="G44" s="1396">
        <f t="shared" ref="G44:G68" si="5">F44*100/$F$44</f>
        <v>100</v>
      </c>
      <c r="H44" s="1658"/>
      <c r="I44" s="1658"/>
      <c r="J44" s="1658"/>
      <c r="K44" s="1658"/>
      <c r="L44" s="1658"/>
      <c r="M44" s="1658"/>
      <c r="N44" s="1658"/>
      <c r="O44" s="1658"/>
      <c r="P44" s="1658"/>
      <c r="Q44" s="1658"/>
      <c r="R44" s="1658"/>
      <c r="S44" s="1658"/>
    </row>
    <row r="45" spans="1:19" ht="28.5" customHeight="1" x14ac:dyDescent="0.25">
      <c r="A45" s="1406" t="s">
        <v>89</v>
      </c>
      <c r="B45" s="2887" t="s">
        <v>1350</v>
      </c>
      <c r="C45" s="2888"/>
      <c r="D45" s="2888"/>
      <c r="E45" s="2889"/>
      <c r="F45" s="1407">
        <f>'Звіт   4,5,6'!H8/1000+'Звіт   9'!K83</f>
        <v>14296.308999999999</v>
      </c>
      <c r="G45" s="1408">
        <f t="shared" si="5"/>
        <v>61.937488938812713</v>
      </c>
      <c r="H45" s="1658"/>
      <c r="I45" s="1658"/>
      <c r="J45" s="1658"/>
      <c r="K45" s="1658"/>
      <c r="L45" s="1658"/>
      <c r="M45" s="1658"/>
      <c r="N45" s="1658"/>
      <c r="O45" s="1658"/>
      <c r="P45" s="1658"/>
      <c r="Q45" s="1658"/>
      <c r="R45" s="1658"/>
      <c r="S45" s="1658"/>
    </row>
    <row r="46" spans="1:19" x14ac:dyDescent="0.25">
      <c r="A46" s="1654" t="s">
        <v>1331</v>
      </c>
      <c r="B46" s="2946" t="s">
        <v>1351</v>
      </c>
      <c r="C46" s="2947"/>
      <c r="D46" s="2947"/>
      <c r="E46" s="2948"/>
      <c r="F46" s="1382">
        <f>('Звіт   4,5,6'!H9+'Звіт   4,5,6'!H10)/1000</f>
        <v>0</v>
      </c>
      <c r="G46" s="1397">
        <f t="shared" si="5"/>
        <v>0</v>
      </c>
      <c r="H46" s="1658"/>
      <c r="I46" s="1658"/>
      <c r="J46" s="1658"/>
      <c r="K46" s="1658"/>
      <c r="L46" s="1658"/>
      <c r="M46" s="1658"/>
      <c r="N46" s="1658"/>
      <c r="O46" s="1658"/>
      <c r="P46" s="1658"/>
      <c r="Q46" s="1658"/>
      <c r="R46" s="1658"/>
      <c r="S46" s="1658"/>
    </row>
    <row r="47" spans="1:19" ht="16.5" customHeight="1" x14ac:dyDescent="0.25">
      <c r="A47" s="1654" t="s">
        <v>1332</v>
      </c>
      <c r="B47" s="2934" t="s">
        <v>334</v>
      </c>
      <c r="C47" s="2935"/>
      <c r="D47" s="2935"/>
      <c r="E47" s="2936"/>
      <c r="F47" s="1382">
        <f>'Звіт   4,5,6'!H11/1000+'Звіт   9'!K83</f>
        <v>14296.308999999999</v>
      </c>
      <c r="G47" s="1397">
        <f t="shared" si="5"/>
        <v>61.937488938812713</v>
      </c>
      <c r="H47" s="1658"/>
      <c r="I47" s="1658"/>
      <c r="J47" s="1658"/>
      <c r="K47" s="1658"/>
      <c r="L47" s="1658"/>
      <c r="M47" s="1658"/>
      <c r="N47" s="1658"/>
      <c r="O47" s="1658"/>
      <c r="P47" s="1658"/>
      <c r="Q47" s="1658"/>
      <c r="R47" s="1658"/>
      <c r="S47" s="1658"/>
    </row>
    <row r="48" spans="1:19" x14ac:dyDescent="0.25">
      <c r="A48" s="1654" t="s">
        <v>1352</v>
      </c>
      <c r="B48" s="2937" t="s">
        <v>1353</v>
      </c>
      <c r="C48" s="2938"/>
      <c r="D48" s="2938"/>
      <c r="E48" s="2939"/>
      <c r="F48" s="1382">
        <f>F47-F49</f>
        <v>0</v>
      </c>
      <c r="G48" s="1397">
        <f t="shared" si="5"/>
        <v>0</v>
      </c>
      <c r="H48" s="1658"/>
      <c r="I48" s="1658"/>
      <c r="J48" s="1658"/>
      <c r="K48" s="1658"/>
      <c r="L48" s="1658"/>
      <c r="M48" s="1658"/>
      <c r="N48" s="1658"/>
      <c r="O48" s="1658"/>
      <c r="P48" s="1658"/>
      <c r="Q48" s="1658"/>
      <c r="R48" s="1658"/>
      <c r="S48" s="1658"/>
    </row>
    <row r="49" spans="1:19" x14ac:dyDescent="0.25">
      <c r="A49" s="1654" t="s">
        <v>1354</v>
      </c>
      <c r="B49" s="2937" t="s">
        <v>1355</v>
      </c>
      <c r="C49" s="2938"/>
      <c r="D49" s="2938"/>
      <c r="E49" s="2939"/>
      <c r="F49" s="1382">
        <f>'Звіт   4,5,6'!H12/1000+'Звіт   9'!K83</f>
        <v>14296.308999999999</v>
      </c>
      <c r="G49" s="1397">
        <f t="shared" si="5"/>
        <v>61.937488938812713</v>
      </c>
      <c r="H49" s="1658"/>
      <c r="I49" s="1658"/>
      <c r="J49" s="1658"/>
      <c r="K49" s="1658"/>
      <c r="L49" s="1658"/>
      <c r="M49" s="1658"/>
      <c r="N49" s="1658"/>
      <c r="O49" s="1658"/>
      <c r="P49" s="1658"/>
      <c r="Q49" s="1658"/>
      <c r="R49" s="1658"/>
      <c r="S49" s="1658"/>
    </row>
    <row r="50" spans="1:19" ht="47.25" customHeight="1" x14ac:dyDescent="0.25">
      <c r="A50" s="1404" t="s">
        <v>1333</v>
      </c>
      <c r="B50" s="2940" t="s">
        <v>1860</v>
      </c>
      <c r="C50" s="2941"/>
      <c r="D50" s="2941"/>
      <c r="E50" s="2942"/>
      <c r="F50" s="1382">
        <f>'Звіт   4,5,6'!H13/1000</f>
        <v>0</v>
      </c>
      <c r="G50" s="1397">
        <f t="shared" si="5"/>
        <v>0</v>
      </c>
      <c r="H50" s="1658"/>
      <c r="I50" s="1658"/>
      <c r="J50" s="1658"/>
      <c r="K50" s="1658"/>
      <c r="L50" s="1658"/>
      <c r="M50" s="1658"/>
      <c r="N50" s="1658"/>
      <c r="O50" s="1658"/>
      <c r="P50" s="1658"/>
      <c r="Q50" s="1658"/>
      <c r="R50" s="1658"/>
      <c r="S50" s="1658"/>
    </row>
    <row r="51" spans="1:19" ht="18.75" customHeight="1" x14ac:dyDescent="0.25">
      <c r="A51" s="1406" t="s">
        <v>90</v>
      </c>
      <c r="B51" s="2943" t="s">
        <v>1356</v>
      </c>
      <c r="C51" s="2944"/>
      <c r="D51" s="2944"/>
      <c r="E51" s="2945"/>
      <c r="F51" s="1407">
        <f>'Звіт   4,5,6'!H15/1000</f>
        <v>8668.23</v>
      </c>
      <c r="G51" s="1408">
        <f t="shared" si="5"/>
        <v>37.554336559463323</v>
      </c>
      <c r="H51" s="1658"/>
      <c r="I51" s="1658"/>
      <c r="J51" s="1658"/>
      <c r="K51" s="1658"/>
      <c r="L51" s="1658"/>
      <c r="M51" s="1658"/>
      <c r="N51" s="1658"/>
      <c r="O51" s="1658"/>
      <c r="P51" s="1658"/>
      <c r="Q51" s="1658"/>
      <c r="R51" s="1658"/>
      <c r="S51" s="1658"/>
    </row>
    <row r="52" spans="1:19" x14ac:dyDescent="0.25">
      <c r="A52" s="1398" t="s">
        <v>1615</v>
      </c>
      <c r="B52" s="2952" t="s">
        <v>1358</v>
      </c>
      <c r="C52" s="2953"/>
      <c r="D52" s="2953"/>
      <c r="E52" s="2954"/>
      <c r="F52" s="1393">
        <f>'Звіт   4,5,6'!H16/1000</f>
        <v>8649.0280000000002</v>
      </c>
      <c r="G52" s="1397">
        <f t="shared" si="5"/>
        <v>37.471145599992383</v>
      </c>
      <c r="H52" s="1658"/>
      <c r="I52" s="1658"/>
      <c r="J52" s="1658"/>
      <c r="K52" s="1658"/>
      <c r="L52" s="1658"/>
      <c r="M52" s="1658"/>
      <c r="N52" s="1658"/>
      <c r="O52" s="1658"/>
      <c r="P52" s="1658"/>
      <c r="Q52" s="1658"/>
      <c r="R52" s="1658"/>
      <c r="S52" s="1658"/>
    </row>
    <row r="53" spans="1:19" ht="27.75" customHeight="1" x14ac:dyDescent="0.25">
      <c r="A53" s="1399" t="s">
        <v>1616</v>
      </c>
      <c r="B53" s="2955" t="s">
        <v>1359</v>
      </c>
      <c r="C53" s="2956"/>
      <c r="D53" s="2956"/>
      <c r="E53" s="2957"/>
      <c r="F53" s="1393">
        <f>('Звіт   4,5,6'!H18+'Звіт   4,5,6'!H19)/1000</f>
        <v>0</v>
      </c>
      <c r="G53" s="1397">
        <f t="shared" si="5"/>
        <v>0</v>
      </c>
      <c r="H53" s="1658"/>
      <c r="I53" s="1658"/>
      <c r="J53" s="1658"/>
      <c r="K53" s="1658"/>
      <c r="L53" s="1658"/>
      <c r="M53" s="1658"/>
      <c r="N53" s="1658"/>
      <c r="O53" s="1658"/>
      <c r="P53" s="1658"/>
      <c r="Q53" s="1658"/>
      <c r="R53" s="1658"/>
      <c r="S53" s="1658"/>
    </row>
    <row r="54" spans="1:19" ht="24.75" customHeight="1" x14ac:dyDescent="0.25">
      <c r="A54" s="1399" t="s">
        <v>1617</v>
      </c>
      <c r="B54" s="2952" t="s">
        <v>1360</v>
      </c>
      <c r="C54" s="2953"/>
      <c r="D54" s="2953"/>
      <c r="E54" s="2954"/>
      <c r="F54" s="1393">
        <f>'Звіт   4,5,6'!H21/1000</f>
        <v>0</v>
      </c>
      <c r="G54" s="1397">
        <f t="shared" si="5"/>
        <v>0</v>
      </c>
      <c r="H54" s="1658"/>
      <c r="I54" s="1658"/>
      <c r="J54" s="1658"/>
      <c r="K54" s="1658"/>
      <c r="L54" s="1658"/>
      <c r="M54" s="1658"/>
      <c r="N54" s="1658"/>
      <c r="O54" s="1658"/>
      <c r="P54" s="1658"/>
      <c r="Q54" s="1658"/>
      <c r="R54" s="1658"/>
      <c r="S54" s="1658"/>
    </row>
    <row r="55" spans="1:19" x14ac:dyDescent="0.25">
      <c r="A55" s="1406" t="s">
        <v>91</v>
      </c>
      <c r="B55" s="2943" t="s">
        <v>1361</v>
      </c>
      <c r="C55" s="2944"/>
      <c r="D55" s="2944"/>
      <c r="E55" s="2945"/>
      <c r="F55" s="1407">
        <f>'Звіт   4,5,6'!H22/1000</f>
        <v>117.29600000000001</v>
      </c>
      <c r="G55" s="1408">
        <f t="shared" si="5"/>
        <v>0.50817450172397483</v>
      </c>
      <c r="H55" s="1658"/>
      <c r="I55" s="1658"/>
      <c r="J55" s="1658"/>
      <c r="K55" s="1658"/>
      <c r="L55" s="1658"/>
      <c r="M55" s="1658"/>
      <c r="N55" s="1658"/>
      <c r="O55" s="1658"/>
      <c r="P55" s="1658"/>
      <c r="Q55" s="1658"/>
      <c r="R55" s="1658"/>
      <c r="S55" s="1658"/>
    </row>
    <row r="56" spans="1:19" x14ac:dyDescent="0.25">
      <c r="A56" s="1399" t="s">
        <v>1357</v>
      </c>
      <c r="B56" s="2937" t="s">
        <v>1362</v>
      </c>
      <c r="C56" s="2938"/>
      <c r="D56" s="2938"/>
      <c r="E56" s="2939"/>
      <c r="F56" s="1393">
        <f>('Звіт   4,5,6'!H23+'Звіт   4,5,6'!H24)/1000</f>
        <v>117.29600000000001</v>
      </c>
      <c r="G56" s="1397">
        <f t="shared" si="5"/>
        <v>0.50817450172397483</v>
      </c>
      <c r="H56" s="1658"/>
      <c r="I56" s="1658"/>
      <c r="J56" s="1658"/>
      <c r="K56" s="1658"/>
      <c r="L56" s="1658"/>
      <c r="M56" s="1658"/>
      <c r="N56" s="1658"/>
      <c r="O56" s="1658"/>
      <c r="P56" s="1658"/>
      <c r="Q56" s="1658"/>
      <c r="R56" s="1658"/>
      <c r="S56" s="1658"/>
    </row>
    <row r="57" spans="1:19" x14ac:dyDescent="0.25">
      <c r="A57" s="1406" t="s">
        <v>1618</v>
      </c>
      <c r="B57" s="1409" t="s">
        <v>1410</v>
      </c>
      <c r="C57" s="1410"/>
      <c r="D57" s="1410"/>
      <c r="E57" s="1411"/>
      <c r="F57" s="1407">
        <f>('Звіт 10, 11,12,13,14'!$G$87+'Звіт 10, 11,12,13,14'!I81)/1000</f>
        <v>0</v>
      </c>
      <c r="G57" s="1412">
        <f t="shared" si="5"/>
        <v>0</v>
      </c>
      <c r="H57" s="1658"/>
      <c r="I57" s="1658"/>
      <c r="J57" s="1658"/>
      <c r="K57" s="1658"/>
      <c r="L57" s="1658"/>
      <c r="M57" s="1658"/>
      <c r="N57" s="1658"/>
      <c r="O57" s="1658"/>
      <c r="P57" s="1658"/>
      <c r="Q57" s="1658"/>
      <c r="R57" s="1658"/>
      <c r="S57" s="1658"/>
    </row>
    <row r="58" spans="1:19" x14ac:dyDescent="0.25">
      <c r="A58" s="1394">
        <v>2</v>
      </c>
      <c r="B58" s="2958" t="s">
        <v>1621</v>
      </c>
      <c r="C58" s="2958"/>
      <c r="D58" s="2958"/>
      <c r="E58" s="2958"/>
      <c r="F58" s="1395">
        <f>SUM(F59:F67)</f>
        <v>33116.603999999999</v>
      </c>
      <c r="G58" s="1396">
        <f t="shared" si="5"/>
        <v>143.47474540044155</v>
      </c>
      <c r="H58" s="1658"/>
      <c r="I58" s="1658"/>
      <c r="J58" s="1658"/>
      <c r="K58" s="1658"/>
      <c r="L58" s="1658"/>
      <c r="M58" s="1658"/>
      <c r="N58" s="1658"/>
      <c r="O58" s="1658"/>
      <c r="P58" s="1658"/>
      <c r="Q58" s="1658"/>
      <c r="R58" s="1658"/>
      <c r="S58" s="1658"/>
    </row>
    <row r="59" spans="1:19" x14ac:dyDescent="0.25">
      <c r="A59" s="1654" t="s">
        <v>1363</v>
      </c>
      <c r="B59" s="2923" t="s">
        <v>189</v>
      </c>
      <c r="C59" s="2923"/>
      <c r="D59" s="2923"/>
      <c r="E59" s="2923"/>
      <c r="F59" s="1382">
        <f>'Звіт   4,5,6'!G98/1000</f>
        <v>10437.606</v>
      </c>
      <c r="G59" s="1397">
        <f t="shared" si="5"/>
        <v>45.220000922803592</v>
      </c>
      <c r="H59" s="1658"/>
      <c r="I59" s="1658"/>
      <c r="J59" s="1658"/>
      <c r="K59" s="1658"/>
      <c r="L59" s="1658"/>
      <c r="M59" s="1658"/>
      <c r="N59" s="1658"/>
      <c r="O59" s="1658"/>
      <c r="P59" s="1658"/>
      <c r="Q59" s="1658"/>
      <c r="R59" s="1658"/>
      <c r="S59" s="1658"/>
    </row>
    <row r="60" spans="1:19" x14ac:dyDescent="0.25">
      <c r="A60" s="1400" t="s">
        <v>1364</v>
      </c>
      <c r="B60" s="2923" t="s">
        <v>190</v>
      </c>
      <c r="C60" s="2923"/>
      <c r="D60" s="2923"/>
      <c r="E60" s="2923"/>
      <c r="F60" s="1382">
        <f>'Звіт   4,5,6'!G99/1000</f>
        <v>16891.504000000001</v>
      </c>
      <c r="G60" s="1397">
        <f t="shared" si="5"/>
        <v>73.180940770090444</v>
      </c>
      <c r="H60" s="1658"/>
      <c r="I60" s="1658"/>
      <c r="J60" s="1658"/>
      <c r="K60" s="1658"/>
      <c r="L60" s="1658"/>
      <c r="M60" s="1658"/>
      <c r="N60" s="1658"/>
      <c r="O60" s="1658"/>
      <c r="P60" s="1658"/>
      <c r="Q60" s="1658"/>
      <c r="R60" s="1658"/>
      <c r="S60" s="1658"/>
    </row>
    <row r="61" spans="1:19" x14ac:dyDescent="0.25">
      <c r="A61" s="1654" t="s">
        <v>1365</v>
      </c>
      <c r="B61" s="2923" t="s">
        <v>191</v>
      </c>
      <c r="C61" s="2923"/>
      <c r="D61" s="2923"/>
      <c r="E61" s="2923"/>
      <c r="F61" s="1382">
        <f>'Звіт   4,5,6'!G100/1000</f>
        <v>3761.5790000000002</v>
      </c>
      <c r="G61" s="1397">
        <f t="shared" si="5"/>
        <v>16.296706912600325</v>
      </c>
      <c r="H61" s="1658"/>
      <c r="I61" s="1658"/>
      <c r="J61" s="1658"/>
      <c r="K61" s="1658"/>
      <c r="L61" s="1658"/>
      <c r="M61" s="1658"/>
      <c r="N61" s="1658"/>
      <c r="O61" s="1658"/>
      <c r="P61" s="1658"/>
      <c r="Q61" s="1658"/>
      <c r="R61" s="1658"/>
      <c r="S61" s="1658"/>
    </row>
    <row r="62" spans="1:19" x14ac:dyDescent="0.25">
      <c r="A62" s="1654" t="s">
        <v>1366</v>
      </c>
      <c r="B62" s="2923" t="s">
        <v>35</v>
      </c>
      <c r="C62" s="2923"/>
      <c r="D62" s="2923"/>
      <c r="E62" s="2923"/>
      <c r="F62" s="1382">
        <f>'Звіт   4,5,6'!G101/1000</f>
        <v>0</v>
      </c>
      <c r="G62" s="1397">
        <f t="shared" si="5"/>
        <v>0</v>
      </c>
      <c r="H62" s="1658"/>
      <c r="I62" s="1658"/>
      <c r="J62" s="1658"/>
      <c r="K62" s="1658"/>
      <c r="L62" s="1658"/>
      <c r="M62" s="1658"/>
      <c r="N62" s="1658"/>
      <c r="O62" s="1658"/>
      <c r="P62" s="1658"/>
      <c r="Q62" s="1658"/>
      <c r="R62" s="1658"/>
      <c r="S62" s="1658"/>
    </row>
    <row r="63" spans="1:19" x14ac:dyDescent="0.25">
      <c r="A63" s="1654" t="s">
        <v>1367</v>
      </c>
      <c r="B63" s="2923" t="s">
        <v>192</v>
      </c>
      <c r="C63" s="2923"/>
      <c r="D63" s="2923"/>
      <c r="E63" s="2923"/>
      <c r="F63" s="1382">
        <f>'Звіт   4,5,6'!G102/1000</f>
        <v>117.974</v>
      </c>
      <c r="G63" s="1397">
        <f t="shared" si="5"/>
        <v>0.51111187650375289</v>
      </c>
      <c r="H63" s="1658"/>
      <c r="I63" s="1658"/>
      <c r="J63" s="1658"/>
      <c r="K63" s="1658"/>
      <c r="L63" s="1658"/>
      <c r="M63" s="1658"/>
      <c r="N63" s="1658"/>
      <c r="O63" s="1658"/>
      <c r="P63" s="1658"/>
      <c r="Q63" s="1658"/>
      <c r="R63" s="1658"/>
      <c r="S63" s="1658"/>
    </row>
    <row r="64" spans="1:19" x14ac:dyDescent="0.25">
      <c r="A64" s="1654" t="s">
        <v>1368</v>
      </c>
      <c r="B64" s="2949" t="s">
        <v>196</v>
      </c>
      <c r="C64" s="2950"/>
      <c r="D64" s="2950"/>
      <c r="E64" s="2951"/>
      <c r="F64" s="1382">
        <f>'Звіт   4,5,6'!G103/1000</f>
        <v>1907.941</v>
      </c>
      <c r="G64" s="1397">
        <f t="shared" si="5"/>
        <v>8.2659849184434453</v>
      </c>
      <c r="H64" s="1658"/>
      <c r="I64" s="1658"/>
      <c r="J64" s="1658"/>
      <c r="K64" s="1658"/>
      <c r="L64" s="1658"/>
      <c r="M64" s="1658"/>
      <c r="N64" s="1658"/>
      <c r="O64" s="1658"/>
      <c r="P64" s="1658"/>
      <c r="Q64" s="1658"/>
      <c r="R64" s="1658"/>
      <c r="S64" s="1658"/>
    </row>
    <row r="65" spans="1:19" x14ac:dyDescent="0.25">
      <c r="A65" s="1654" t="s">
        <v>1369</v>
      </c>
      <c r="B65" s="2949" t="s">
        <v>1227</v>
      </c>
      <c r="C65" s="2950"/>
      <c r="D65" s="2950"/>
      <c r="E65" s="2951"/>
      <c r="F65" s="1382">
        <f>'Звіт   4,5,6'!H30/1000</f>
        <v>0</v>
      </c>
      <c r="G65" s="1397">
        <f t="shared" si="5"/>
        <v>0</v>
      </c>
      <c r="H65" s="1658"/>
      <c r="I65" s="1658"/>
      <c r="J65" s="1658"/>
      <c r="K65" s="1658"/>
      <c r="L65" s="1658"/>
      <c r="M65" s="1658"/>
      <c r="N65" s="1658"/>
      <c r="O65" s="1658"/>
      <c r="P65" s="1658"/>
      <c r="Q65" s="1658"/>
      <c r="R65" s="1658"/>
      <c r="S65" s="1658"/>
    </row>
    <row r="66" spans="1:19" x14ac:dyDescent="0.25">
      <c r="A66" s="1654" t="s">
        <v>1370</v>
      </c>
      <c r="B66" s="2949" t="s">
        <v>1228</v>
      </c>
      <c r="C66" s="2950"/>
      <c r="D66" s="2950"/>
      <c r="E66" s="2951"/>
      <c r="F66" s="1382">
        <f>'Звіт   4,5,6'!H31/1000</f>
        <v>0</v>
      </c>
      <c r="G66" s="1397">
        <f t="shared" si="5"/>
        <v>0</v>
      </c>
      <c r="H66" s="1658"/>
      <c r="I66" s="1658"/>
      <c r="J66" s="1658"/>
      <c r="K66" s="1658"/>
      <c r="L66" s="1658"/>
      <c r="M66" s="1658"/>
      <c r="N66" s="1658"/>
      <c r="O66" s="1658"/>
      <c r="P66" s="1658"/>
      <c r="Q66" s="1658"/>
      <c r="R66" s="1658"/>
      <c r="S66" s="1658"/>
    </row>
    <row r="67" spans="1:19" x14ac:dyDescent="0.25">
      <c r="A67" s="1654" t="s">
        <v>1371</v>
      </c>
      <c r="B67" s="2923" t="s">
        <v>46</v>
      </c>
      <c r="C67" s="2923"/>
      <c r="D67" s="2923"/>
      <c r="E67" s="2923"/>
      <c r="F67" s="1382">
        <f>'Звіт   4,5,6'!E92/1000</f>
        <v>0</v>
      </c>
      <c r="G67" s="1397">
        <f t="shared" si="5"/>
        <v>0</v>
      </c>
      <c r="H67" s="1658"/>
      <c r="I67" s="1658"/>
      <c r="J67" s="1658"/>
      <c r="K67" s="1658"/>
      <c r="L67" s="1658"/>
      <c r="M67" s="1658"/>
      <c r="N67" s="1658"/>
      <c r="O67" s="1658"/>
      <c r="P67" s="1658"/>
      <c r="Q67" s="1658"/>
      <c r="R67" s="1658"/>
      <c r="S67" s="1658"/>
    </row>
    <row r="68" spans="1:19" x14ac:dyDescent="0.25">
      <c r="A68" s="1394">
        <v>3</v>
      </c>
      <c r="B68" s="2933" t="s">
        <v>1857</v>
      </c>
      <c r="C68" s="2933"/>
      <c r="D68" s="2933"/>
      <c r="E68" s="2933"/>
      <c r="F68" s="1395">
        <f>F44-F58</f>
        <v>-10034.769000000004</v>
      </c>
      <c r="G68" s="1396">
        <f t="shared" si="5"/>
        <v>-43.474745400441542</v>
      </c>
      <c r="H68" s="1658"/>
      <c r="I68" s="1658"/>
      <c r="J68" s="1658"/>
      <c r="K68" s="1658"/>
      <c r="L68" s="1658"/>
      <c r="M68" s="1658"/>
      <c r="N68" s="1658"/>
      <c r="O68" s="1658"/>
      <c r="P68" s="1658"/>
      <c r="Q68" s="1658"/>
      <c r="R68" s="1658"/>
      <c r="S68" s="1658"/>
    </row>
    <row r="69" spans="1:19" ht="21.75" customHeight="1" x14ac:dyDescent="0.25">
      <c r="A69" s="815"/>
      <c r="B69" s="816"/>
      <c r="C69" s="815"/>
      <c r="D69" s="818"/>
      <c r="E69" s="818"/>
      <c r="F69" s="817"/>
      <c r="G69" s="817"/>
      <c r="H69" s="1658"/>
      <c r="I69" s="1658"/>
      <c r="J69" s="1658"/>
      <c r="K69" s="1658"/>
      <c r="L69" s="1658"/>
      <c r="M69" s="1658"/>
      <c r="N69" s="1658"/>
      <c r="O69" s="1658"/>
      <c r="P69" s="1658"/>
      <c r="Q69" s="1658"/>
      <c r="R69" s="1658"/>
      <c r="S69" s="1658"/>
    </row>
    <row r="70" spans="1:19" x14ac:dyDescent="0.25">
      <c r="A70" s="803" t="s">
        <v>1628</v>
      </c>
      <c r="B70" s="816"/>
      <c r="C70" s="815"/>
      <c r="D70" s="818"/>
      <c r="E70" s="818"/>
      <c r="F70" s="817"/>
      <c r="G70" s="817"/>
      <c r="H70" s="1658"/>
      <c r="I70" s="1658"/>
      <c r="J70" s="1658"/>
      <c r="K70" s="1658"/>
      <c r="L70" s="1658"/>
      <c r="M70" s="1658"/>
      <c r="N70" s="1658"/>
      <c r="O70" s="1658"/>
      <c r="P70" s="1658"/>
      <c r="Q70" s="1658"/>
      <c r="R70" s="1658"/>
      <c r="S70" s="1658"/>
    </row>
    <row r="71" spans="1:19" ht="15.75" thickBot="1" x14ac:dyDescent="0.3">
      <c r="A71" s="818"/>
      <c r="B71" s="818"/>
      <c r="C71" s="815"/>
      <c r="D71" s="818"/>
      <c r="E71" s="818"/>
      <c r="F71" s="815"/>
      <c r="G71" s="817"/>
      <c r="H71" s="1658"/>
      <c r="I71" s="1658"/>
      <c r="J71" s="1658"/>
      <c r="K71" s="1658"/>
      <c r="L71" s="1658"/>
      <c r="M71" s="1658"/>
      <c r="N71" s="1658"/>
      <c r="O71" s="1658"/>
      <c r="P71" s="1658"/>
      <c r="Q71" s="1658"/>
      <c r="R71" s="1658"/>
      <c r="S71" s="1658"/>
    </row>
    <row r="72" spans="1:19" ht="55.5" customHeight="1" x14ac:dyDescent="0.25">
      <c r="A72" s="2918"/>
      <c r="B72" s="2919"/>
      <c r="C72" s="2919"/>
      <c r="D72" s="2919"/>
      <c r="E72" s="1663" t="s">
        <v>1415</v>
      </c>
      <c r="F72" s="1655" t="s">
        <v>1416</v>
      </c>
      <c r="G72" s="1655" t="s">
        <v>1417</v>
      </c>
      <c r="H72" s="1663" t="s">
        <v>1418</v>
      </c>
      <c r="I72" s="1663" t="s">
        <v>1632</v>
      </c>
      <c r="J72" s="1664" t="s">
        <v>1419</v>
      </c>
      <c r="K72" s="1665" t="s">
        <v>1420</v>
      </c>
      <c r="L72" s="1658"/>
      <c r="M72" s="1658"/>
      <c r="N72" s="1658"/>
      <c r="O72" s="1658"/>
      <c r="P72" s="1658"/>
      <c r="Q72" s="1658"/>
      <c r="R72" s="1658"/>
      <c r="S72" s="1658"/>
    </row>
    <row r="73" spans="1:19" ht="13.5" customHeight="1" x14ac:dyDescent="0.25">
      <c r="A73" s="2922" t="s">
        <v>1421</v>
      </c>
      <c r="B73" s="2923"/>
      <c r="C73" s="2923"/>
      <c r="D73" s="2923"/>
      <c r="E73" s="1382">
        <f>'Звіт   9'!H27</f>
        <v>28613.1</v>
      </c>
      <c r="F73" s="1382">
        <f>'Звіт 1,2,3'!G29/1000</f>
        <v>10833.691000000001</v>
      </c>
      <c r="G73" s="1382">
        <f>'Звіт 10, 11,12,13,14'!R26/1000</f>
        <v>7981.2820000000002</v>
      </c>
      <c r="H73" s="1382">
        <f>'Звіт   9'!K27</f>
        <v>31465.5</v>
      </c>
      <c r="I73" s="1382">
        <f>G73/3</f>
        <v>2660.4273333333335</v>
      </c>
      <c r="J73" s="1666">
        <f>H73/I73</f>
        <v>11.827235273731713</v>
      </c>
      <c r="K73" s="1667">
        <f>E73-H73+F73</f>
        <v>7981.2909999999993</v>
      </c>
      <c r="L73" s="1658"/>
      <c r="M73" s="1658"/>
      <c r="N73" s="1658"/>
      <c r="O73" s="1658"/>
      <c r="P73" s="1658"/>
      <c r="Q73" s="1658"/>
      <c r="R73" s="1658"/>
      <c r="S73" s="1658"/>
    </row>
    <row r="74" spans="1:19" x14ac:dyDescent="0.25">
      <c r="A74" s="2922" t="s">
        <v>1422</v>
      </c>
      <c r="B74" s="2923"/>
      <c r="C74" s="2923"/>
      <c r="D74" s="2923"/>
      <c r="E74" s="2924">
        <f>E75+F75</f>
        <v>100</v>
      </c>
      <c r="F74" s="2924"/>
      <c r="G74" s="2892">
        <f>G73*100/(E73+F73)</f>
        <v>20.233032390391404</v>
      </c>
      <c r="H74" s="1382">
        <f>H73*100/(E73+F73)</f>
        <v>79.7669447940645</v>
      </c>
      <c r="I74" s="1395"/>
      <c r="J74" s="1668"/>
      <c r="K74" s="1669"/>
      <c r="L74" s="1658"/>
      <c r="M74" s="1658"/>
      <c r="N74" s="1658"/>
      <c r="O74" s="1658"/>
      <c r="P74" s="1658"/>
      <c r="Q74" s="1658"/>
      <c r="R74" s="1658"/>
      <c r="S74" s="1658"/>
    </row>
    <row r="75" spans="1:19" ht="15.75" thickBot="1" x14ac:dyDescent="0.3">
      <c r="A75" s="2926" t="s">
        <v>1423</v>
      </c>
      <c r="B75" s="2927"/>
      <c r="C75" s="2927"/>
      <c r="D75" s="2927"/>
      <c r="E75" s="1385">
        <f>E73*100/(E73+F73)</f>
        <v>72.535938347938114</v>
      </c>
      <c r="F75" s="1385">
        <f>F73*100/(E73+F73)</f>
        <v>27.464061652061893</v>
      </c>
      <c r="G75" s="2925"/>
      <c r="H75" s="1670"/>
      <c r="I75" s="1671"/>
      <c r="J75" s="1672"/>
      <c r="K75" s="1669"/>
      <c r="L75" s="1658"/>
      <c r="M75" s="1658"/>
      <c r="N75" s="1658"/>
      <c r="O75" s="1658"/>
      <c r="P75" s="1658"/>
      <c r="Q75" s="1658"/>
      <c r="R75" s="1658"/>
      <c r="S75" s="1658"/>
    </row>
    <row r="76" spans="1:19" x14ac:dyDescent="0.25">
      <c r="A76" s="1658"/>
      <c r="B76" s="1658"/>
      <c r="C76" s="1658"/>
      <c r="D76" s="1658"/>
      <c r="E76" s="1658"/>
      <c r="F76" s="1658"/>
      <c r="G76" s="1658"/>
      <c r="H76" s="1658"/>
      <c r="I76" s="1658"/>
      <c r="J76" s="1658"/>
      <c r="K76" s="1658"/>
      <c r="L76" s="1658"/>
      <c r="M76" s="1658"/>
      <c r="N76" s="1658"/>
      <c r="O76" s="1658"/>
      <c r="P76" s="1658"/>
      <c r="Q76" s="1658"/>
      <c r="R76" s="1658"/>
      <c r="S76" s="1658"/>
    </row>
    <row r="77" spans="1:19" x14ac:dyDescent="0.25">
      <c r="A77" s="1658"/>
      <c r="B77" s="1658"/>
      <c r="C77" s="1658"/>
      <c r="D77" s="1658"/>
      <c r="E77" s="1658"/>
      <c r="F77" s="1658"/>
      <c r="G77" s="1658"/>
      <c r="H77" s="1658"/>
      <c r="I77" s="1658"/>
      <c r="J77" s="1658"/>
      <c r="K77" s="1658"/>
      <c r="L77" s="1658"/>
      <c r="M77" s="1658"/>
      <c r="N77" s="1658"/>
      <c r="O77" s="1658"/>
      <c r="P77" s="1658"/>
      <c r="Q77" s="1658"/>
      <c r="R77" s="1658"/>
      <c r="S77" s="1658"/>
    </row>
    <row r="78" spans="1:19" x14ac:dyDescent="0.25">
      <c r="A78" s="1658"/>
      <c r="B78" s="1658"/>
      <c r="C78" s="1658"/>
      <c r="D78" s="1658"/>
      <c r="E78" s="1658"/>
      <c r="F78" s="1658"/>
      <c r="G78" s="1658"/>
      <c r="H78" s="1658"/>
      <c r="I78" s="1658"/>
      <c r="J78" s="1658"/>
      <c r="K78" s="1658"/>
      <c r="L78" s="1658"/>
      <c r="M78" s="1658"/>
      <c r="N78" s="1658"/>
      <c r="O78" s="1658"/>
      <c r="P78" s="1658"/>
      <c r="Q78" s="1658"/>
      <c r="R78" s="1658"/>
      <c r="S78" s="1658"/>
    </row>
    <row r="79" spans="1:19" x14ac:dyDescent="0.25">
      <c r="A79" s="1658"/>
      <c r="B79" s="1658"/>
      <c r="C79" s="1658"/>
      <c r="D79" s="1658"/>
      <c r="E79" s="1658"/>
      <c r="F79" s="1658"/>
      <c r="G79" s="1658"/>
      <c r="H79" s="1658"/>
      <c r="I79" s="1658"/>
      <c r="J79" s="1658"/>
      <c r="K79" s="1658"/>
      <c r="L79" s="1658"/>
      <c r="M79" s="1658"/>
      <c r="N79" s="1658"/>
      <c r="O79" s="1658"/>
      <c r="P79" s="1658"/>
      <c r="Q79" s="1658"/>
      <c r="R79" s="1658"/>
      <c r="S79" s="1658"/>
    </row>
    <row r="80" spans="1:19" x14ac:dyDescent="0.25">
      <c r="A80" s="1658"/>
      <c r="B80" s="1658"/>
      <c r="C80" s="1658"/>
      <c r="D80" s="1658"/>
      <c r="E80" s="1658"/>
      <c r="F80" s="1658"/>
      <c r="G80" s="1658"/>
      <c r="H80" s="1658"/>
      <c r="I80" s="1658"/>
      <c r="J80" s="1658"/>
      <c r="K80" s="1658"/>
      <c r="L80" s="1658"/>
      <c r="M80" s="1658"/>
      <c r="N80" s="1658"/>
      <c r="O80" s="1658"/>
      <c r="P80" s="1658"/>
      <c r="Q80" s="1658"/>
      <c r="R80" s="1658"/>
      <c r="S80" s="1658"/>
    </row>
    <row r="81" spans="1:19" x14ac:dyDescent="0.25">
      <c r="A81" s="1658"/>
      <c r="B81" s="1658"/>
      <c r="C81" s="1658"/>
      <c r="D81" s="1658"/>
      <c r="E81" s="1658"/>
      <c r="F81" s="1658"/>
      <c r="G81" s="1658"/>
      <c r="H81" s="1658"/>
      <c r="I81" s="1658"/>
      <c r="J81" s="1658"/>
      <c r="K81" s="1658"/>
      <c r="L81" s="1658"/>
      <c r="M81" s="1658"/>
      <c r="N81" s="1658"/>
      <c r="O81" s="1658"/>
      <c r="P81" s="1658"/>
      <c r="Q81" s="1658"/>
      <c r="R81" s="1658"/>
      <c r="S81" s="1658"/>
    </row>
    <row r="82" spans="1:19" x14ac:dyDescent="0.25">
      <c r="A82" s="1658"/>
      <c r="B82" s="1658"/>
      <c r="C82" s="1658"/>
      <c r="D82" s="1658"/>
      <c r="E82" s="1658"/>
      <c r="F82" s="1658"/>
      <c r="G82" s="1658"/>
      <c r="H82" s="1658"/>
      <c r="I82" s="1658"/>
      <c r="J82" s="1658"/>
      <c r="K82" s="1658"/>
      <c r="L82" s="1658"/>
      <c r="M82" s="1658"/>
      <c r="N82" s="1658"/>
      <c r="O82" s="1658"/>
      <c r="P82" s="1658"/>
      <c r="Q82" s="1658"/>
      <c r="R82" s="1658"/>
      <c r="S82" s="1658"/>
    </row>
    <row r="83" spans="1:19" x14ac:dyDescent="0.25">
      <c r="A83" s="1658"/>
      <c r="B83" s="1658"/>
      <c r="C83" s="1658"/>
      <c r="D83" s="1658"/>
      <c r="E83" s="1658"/>
      <c r="F83" s="1658"/>
      <c r="G83" s="1658"/>
      <c r="H83" s="1658"/>
      <c r="I83" s="1658"/>
      <c r="J83" s="1658"/>
      <c r="K83" s="1658"/>
      <c r="L83" s="1658"/>
      <c r="M83" s="1658"/>
      <c r="N83" s="1658"/>
      <c r="O83" s="1658"/>
      <c r="P83" s="1658"/>
      <c r="Q83" s="1658"/>
      <c r="R83" s="1658"/>
      <c r="S83" s="1658"/>
    </row>
    <row r="84" spans="1:19" x14ac:dyDescent="0.25">
      <c r="A84" s="1658"/>
      <c r="B84" s="1658"/>
      <c r="C84" s="1658"/>
      <c r="D84" s="1658"/>
      <c r="E84" s="1658"/>
      <c r="F84" s="1658"/>
      <c r="G84" s="1658"/>
      <c r="H84" s="1658"/>
      <c r="I84" s="1658"/>
      <c r="J84" s="1658"/>
      <c r="K84" s="1658"/>
      <c r="L84" s="1658"/>
      <c r="M84" s="1658"/>
      <c r="N84" s="1658"/>
      <c r="O84" s="1658"/>
      <c r="P84" s="1658"/>
      <c r="Q84" s="1658"/>
      <c r="R84" s="1658"/>
      <c r="S84" s="1658"/>
    </row>
    <row r="85" spans="1:19" x14ac:dyDescent="0.25">
      <c r="A85" s="1658"/>
      <c r="B85" s="1658"/>
      <c r="C85" s="1658"/>
      <c r="D85" s="1658"/>
      <c r="E85" s="1658"/>
      <c r="F85" s="1658"/>
      <c r="G85" s="1658"/>
      <c r="H85" s="1658"/>
      <c r="I85" s="1658"/>
      <c r="J85" s="1658"/>
      <c r="K85" s="1658"/>
      <c r="L85" s="1658"/>
      <c r="M85" s="1658"/>
      <c r="N85" s="1658"/>
      <c r="O85" s="1658"/>
      <c r="P85" s="1658"/>
      <c r="Q85" s="1658"/>
      <c r="R85" s="1658"/>
      <c r="S85" s="1658"/>
    </row>
    <row r="86" spans="1:19" x14ac:dyDescent="0.25">
      <c r="A86" s="1658"/>
      <c r="B86" s="1658"/>
      <c r="C86" s="1658"/>
      <c r="D86" s="1658"/>
      <c r="E86" s="1658"/>
      <c r="F86" s="1658"/>
      <c r="G86" s="1658"/>
      <c r="H86" s="1658"/>
      <c r="I86" s="1658"/>
      <c r="J86" s="1658"/>
      <c r="K86" s="1658"/>
      <c r="L86" s="1658"/>
      <c r="M86" s="1658"/>
      <c r="N86" s="1658"/>
      <c r="O86" s="1658"/>
      <c r="P86" s="1658"/>
      <c r="Q86" s="1658"/>
      <c r="R86" s="1658"/>
      <c r="S86" s="1658"/>
    </row>
    <row r="87" spans="1:19" x14ac:dyDescent="0.25">
      <c r="A87" s="1658"/>
      <c r="B87" s="1658"/>
      <c r="C87" s="1658"/>
      <c r="D87" s="1658"/>
      <c r="E87" s="1658"/>
      <c r="F87" s="1658"/>
      <c r="G87" s="1658"/>
      <c r="H87" s="1658"/>
      <c r="I87" s="1658"/>
      <c r="J87" s="1658"/>
      <c r="K87" s="1658"/>
      <c r="L87" s="1658"/>
      <c r="M87" s="1658"/>
      <c r="N87" s="1658"/>
      <c r="O87" s="1658"/>
      <c r="P87" s="1658"/>
      <c r="Q87" s="1658"/>
      <c r="R87" s="1658"/>
      <c r="S87" s="1658"/>
    </row>
    <row r="88" spans="1:19" x14ac:dyDescent="0.25">
      <c r="A88" s="1658"/>
      <c r="B88" s="1658"/>
      <c r="C88" s="1658"/>
      <c r="D88" s="1658"/>
      <c r="E88" s="1658"/>
      <c r="F88" s="1658"/>
      <c r="G88" s="1658"/>
      <c r="H88" s="1658"/>
      <c r="I88" s="1658"/>
      <c r="J88" s="1658"/>
      <c r="K88" s="1658"/>
      <c r="L88" s="1658"/>
      <c r="M88" s="1658"/>
      <c r="N88" s="1658"/>
      <c r="O88" s="1658"/>
      <c r="P88" s="1658"/>
      <c r="Q88" s="1658"/>
      <c r="R88" s="1658"/>
      <c r="S88" s="1658"/>
    </row>
    <row r="89" spans="1:19" x14ac:dyDescent="0.25">
      <c r="A89" s="1658"/>
      <c r="B89" s="1658"/>
      <c r="C89" s="1658"/>
      <c r="D89" s="1658"/>
      <c r="E89" s="1658"/>
      <c r="F89" s="1658"/>
      <c r="G89" s="1658"/>
      <c r="H89" s="1658"/>
      <c r="I89" s="1658"/>
      <c r="J89" s="1658"/>
      <c r="K89" s="1658"/>
      <c r="L89" s="1658"/>
      <c r="M89" s="1658"/>
      <c r="N89" s="1658"/>
      <c r="O89" s="1658"/>
      <c r="P89" s="1658"/>
      <c r="Q89" s="1658"/>
      <c r="R89" s="1658"/>
      <c r="S89" s="1658"/>
    </row>
  </sheetData>
  <sheetProtection password="FB6B" sheet="1"/>
  <mergeCells count="97">
    <mergeCell ref="B65:E65"/>
    <mergeCell ref="B66:E66"/>
    <mergeCell ref="B67:E67"/>
    <mergeCell ref="B68:E68"/>
    <mergeCell ref="B11:E11"/>
    <mergeCell ref="B29:E29"/>
    <mergeCell ref="B30:E30"/>
    <mergeCell ref="B31:E31"/>
    <mergeCell ref="B59:E59"/>
    <mergeCell ref="B60:E60"/>
    <mergeCell ref="B63:E63"/>
    <mergeCell ref="B64:E64"/>
    <mergeCell ref="B52:E52"/>
    <mergeCell ref="B53:E53"/>
    <mergeCell ref="B54:E54"/>
    <mergeCell ref="B55:E55"/>
    <mergeCell ref="B56:E56"/>
    <mergeCell ref="B58:E58"/>
    <mergeCell ref="B61:E61"/>
    <mergeCell ref="B48:E48"/>
    <mergeCell ref="B49:E49"/>
    <mergeCell ref="B50:E50"/>
    <mergeCell ref="B51:E51"/>
    <mergeCell ref="B46:E46"/>
    <mergeCell ref="B62:E62"/>
    <mergeCell ref="B39:E39"/>
    <mergeCell ref="A41:G41"/>
    <mergeCell ref="A42:G42"/>
    <mergeCell ref="B43:E43"/>
    <mergeCell ref="B44:E44"/>
    <mergeCell ref="B47:E47"/>
    <mergeCell ref="B26:E26"/>
    <mergeCell ref="B27:E27"/>
    <mergeCell ref="B28:E28"/>
    <mergeCell ref="B32:E32"/>
    <mergeCell ref="B33:E33"/>
    <mergeCell ref="B34:E34"/>
    <mergeCell ref="A73:D73"/>
    <mergeCell ref="A74:D74"/>
    <mergeCell ref="E74:F74"/>
    <mergeCell ref="G74:G75"/>
    <mergeCell ref="A75:D75"/>
    <mergeCell ref="B16:E16"/>
    <mergeCell ref="A19:G19"/>
    <mergeCell ref="A20:G20"/>
    <mergeCell ref="B21:E21"/>
    <mergeCell ref="B22:E22"/>
    <mergeCell ref="B12:E12"/>
    <mergeCell ref="B13:E13"/>
    <mergeCell ref="B14:E14"/>
    <mergeCell ref="B15:E15"/>
    <mergeCell ref="A72:D72"/>
    <mergeCell ref="B17:E17"/>
    <mergeCell ref="B23:E23"/>
    <mergeCell ref="B40:E40"/>
    <mergeCell ref="B24:E24"/>
    <mergeCell ref="B25:E25"/>
    <mergeCell ref="A1:G1"/>
    <mergeCell ref="A3:G3"/>
    <mergeCell ref="A4:A5"/>
    <mergeCell ref="B4:B5"/>
    <mergeCell ref="B10:E10"/>
    <mergeCell ref="C4:I4"/>
    <mergeCell ref="I28:J28"/>
    <mergeCell ref="I29:J29"/>
    <mergeCell ref="I30:J30"/>
    <mergeCell ref="H35:J35"/>
    <mergeCell ref="I37:J37"/>
    <mergeCell ref="H33:J33"/>
    <mergeCell ref="K33:P33"/>
    <mergeCell ref="H34:J34"/>
    <mergeCell ref="K34:P34"/>
    <mergeCell ref="I24:J24"/>
    <mergeCell ref="I23:J23"/>
    <mergeCell ref="I25:J25"/>
    <mergeCell ref="I31:J31"/>
    <mergeCell ref="I32:J32"/>
    <mergeCell ref="I26:J26"/>
    <mergeCell ref="I27:J27"/>
    <mergeCell ref="H22:J22"/>
    <mergeCell ref="K22:P22"/>
    <mergeCell ref="I19:J21"/>
    <mergeCell ref="K19:P19"/>
    <mergeCell ref="K20:L20"/>
    <mergeCell ref="M20:N20"/>
    <mergeCell ref="O20:P20"/>
    <mergeCell ref="H19:H21"/>
    <mergeCell ref="K36:P36"/>
    <mergeCell ref="H36:J36"/>
    <mergeCell ref="K35:P35"/>
    <mergeCell ref="I38:J38"/>
    <mergeCell ref="I39:J39"/>
    <mergeCell ref="B45:E45"/>
    <mergeCell ref="B35:E35"/>
    <mergeCell ref="B36:E36"/>
    <mergeCell ref="B37:E37"/>
    <mergeCell ref="B38:E38"/>
  </mergeCells>
  <conditionalFormatting sqref="K22">
    <cfRule type="cellIs" dxfId="16" priority="1" operator="lessThan">
      <formula>0</formula>
    </cfRule>
  </conditionalFormatting>
  <conditionalFormatting sqref="H32:I32 H22:H31">
    <cfRule type="cellIs" dxfId="15" priority="5" operator="lessThan">
      <formula>0</formula>
    </cfRule>
  </conditionalFormatting>
  <conditionalFormatting sqref="K23:P23">
    <cfRule type="cellIs" dxfId="14" priority="2" operator="lessThan">
      <formula>0</formula>
    </cfRule>
  </conditionalFormatting>
  <conditionalFormatting sqref="K22 I23 K33:K36 H37:I39 K24:P32 H33:H36 K37:P39">
    <cfRule type="cellIs" dxfId="13" priority="4" operator="lessThan">
      <formula>0</formula>
    </cfRule>
  </conditionalFormatting>
  <conditionalFormatting sqref="I24:I31">
    <cfRule type="cellIs" dxfId="12" priority="3" operator="lessThan">
      <formula>0</formula>
    </cfRule>
  </conditionalFormatting>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5">
    <tabColor rgb="FF92D050"/>
  </sheetPr>
  <dimension ref="A1:AX93"/>
  <sheetViews>
    <sheetView showGridLines="0" zoomScale="50" zoomScaleNormal="50" zoomScaleSheetLayoutView="50" zoomScalePageLayoutView="50" workbookViewId="0">
      <selection activeCell="W6" sqref="W6"/>
    </sheetView>
  </sheetViews>
  <sheetFormatPr defaultColWidth="19.42578125" defaultRowHeight="18.75" x14ac:dyDescent="0.25"/>
  <cols>
    <col min="1" max="1" width="92" style="23" customWidth="1"/>
    <col min="2" max="2" width="25.28515625" style="64" customWidth="1"/>
    <col min="3" max="4" width="28.28515625" style="4" customWidth="1"/>
    <col min="5" max="5" width="30.28515625" style="4" customWidth="1"/>
    <col min="6" max="6" width="22.5703125" style="4" customWidth="1"/>
    <col min="7" max="7" width="33.42578125" style="4" customWidth="1"/>
    <col min="8" max="8" width="21.5703125" style="14" customWidth="1"/>
    <col min="9" max="9" width="27.7109375" style="12" customWidth="1"/>
    <col min="10" max="10" width="20.5703125" style="12" customWidth="1"/>
    <col min="11" max="14" width="23" style="12" customWidth="1"/>
    <col min="15" max="15" width="22.7109375" style="2" customWidth="1"/>
    <col min="16" max="16" width="25" style="85" customWidth="1"/>
    <col min="17" max="17" width="21.42578125" style="85" customWidth="1"/>
    <col min="18" max="18" width="31.140625" style="85" customWidth="1"/>
    <col min="19" max="19" width="18" style="85" customWidth="1"/>
    <col min="20" max="20" width="22.28515625" style="85" customWidth="1"/>
    <col min="21" max="21" width="17.42578125" style="85" customWidth="1"/>
    <col min="22" max="22" width="18" style="85" customWidth="1"/>
    <col min="23" max="23" width="18.5703125" style="85" customWidth="1"/>
    <col min="24" max="24" width="29.42578125" style="85" customWidth="1"/>
    <col min="25" max="25" width="28.140625" style="85" customWidth="1"/>
    <col min="26" max="26" width="29.85546875" style="84" customWidth="1"/>
    <col min="27" max="27" width="31.85546875" style="84" customWidth="1"/>
    <col min="28" max="28" width="25.85546875" style="84" customWidth="1"/>
    <col min="29" max="30" width="27.28515625" style="84" customWidth="1"/>
    <col min="31" max="31" width="40.42578125" style="84" customWidth="1"/>
    <col min="32" max="50" width="8.7109375" style="84" customWidth="1"/>
    <col min="51" max="252" width="8.7109375" style="2" customWidth="1"/>
    <col min="253" max="253" width="78.5703125" style="2" customWidth="1"/>
    <col min="254" max="16384" width="19.42578125" style="2"/>
  </cols>
  <sheetData>
    <row r="1" spans="1:50" ht="59.25" customHeight="1" thickBot="1" x14ac:dyDescent="0.3">
      <c r="A1" s="544" t="s">
        <v>1019</v>
      </c>
      <c r="AC1" s="84" t="s">
        <v>1509</v>
      </c>
      <c r="AD1" s="84" t="s">
        <v>1509</v>
      </c>
    </row>
    <row r="2" spans="1:50" s="52" customFormat="1" ht="29.65" customHeight="1" x14ac:dyDescent="0.25">
      <c r="A2" s="2962"/>
      <c r="B2" s="2405" t="s">
        <v>440</v>
      </c>
      <c r="C2" s="2405" t="s">
        <v>197</v>
      </c>
      <c r="D2" s="2965" t="s">
        <v>435</v>
      </c>
      <c r="E2" s="2977" t="s">
        <v>1018</v>
      </c>
      <c r="F2" s="2965" t="s">
        <v>207</v>
      </c>
      <c r="G2" s="2965"/>
      <c r="H2" s="2965" t="s">
        <v>188</v>
      </c>
      <c r="I2" s="2965"/>
      <c r="J2" s="2966" t="s">
        <v>13</v>
      </c>
      <c r="K2" s="2966"/>
      <c r="L2" s="2966"/>
      <c r="M2" s="2966"/>
      <c r="N2" s="2228" t="s">
        <v>1052</v>
      </c>
      <c r="O2" s="2979"/>
      <c r="P2" s="2979"/>
      <c r="Q2" s="2979"/>
      <c r="R2" s="2979"/>
      <c r="S2" s="2979"/>
      <c r="T2" s="2979"/>
      <c r="U2" s="2979"/>
      <c r="V2" s="2979"/>
      <c r="W2" s="2980"/>
      <c r="X2" s="2971" t="s">
        <v>826</v>
      </c>
      <c r="Y2" s="2968" t="s">
        <v>825</v>
      </c>
      <c r="Z2" s="2971" t="s">
        <v>832</v>
      </c>
      <c r="AA2" s="2971" t="s">
        <v>827</v>
      </c>
      <c r="AB2" s="2971" t="s">
        <v>828</v>
      </c>
      <c r="AC2" s="2968" t="s">
        <v>1510</v>
      </c>
      <c r="AD2" s="2968" t="s">
        <v>1555</v>
      </c>
      <c r="AE2" s="2971" t="s">
        <v>833</v>
      </c>
      <c r="AF2" s="85"/>
      <c r="AG2" s="85"/>
      <c r="AH2" s="85"/>
      <c r="AI2" s="85"/>
      <c r="AJ2" s="85"/>
      <c r="AK2" s="85"/>
      <c r="AL2" s="85"/>
      <c r="AM2" s="85"/>
      <c r="AN2" s="85"/>
      <c r="AO2" s="85"/>
      <c r="AP2" s="85"/>
      <c r="AQ2" s="85"/>
      <c r="AR2" s="85"/>
      <c r="AS2" s="85"/>
      <c r="AT2" s="85"/>
      <c r="AU2" s="85"/>
      <c r="AV2" s="85"/>
      <c r="AW2" s="85"/>
      <c r="AX2" s="85"/>
    </row>
    <row r="3" spans="1:50" s="52" customFormat="1" ht="43.35" customHeight="1" x14ac:dyDescent="0.25">
      <c r="A3" s="2963"/>
      <c r="B3" s="2961"/>
      <c r="C3" s="2961"/>
      <c r="D3" s="2966"/>
      <c r="E3" s="2978"/>
      <c r="F3" s="2966"/>
      <c r="G3" s="2966"/>
      <c r="H3" s="2966"/>
      <c r="I3" s="2966"/>
      <c r="J3" s="2966"/>
      <c r="K3" s="2966"/>
      <c r="L3" s="2966"/>
      <c r="M3" s="2966"/>
      <c r="N3" s="2960" t="s">
        <v>10</v>
      </c>
      <c r="O3" s="2960" t="s">
        <v>11</v>
      </c>
      <c r="P3" s="2960" t="s">
        <v>12</v>
      </c>
      <c r="Q3" s="2981" t="s">
        <v>14</v>
      </c>
      <c r="R3" s="2985" t="s">
        <v>1760</v>
      </c>
      <c r="S3" s="2985" t="s">
        <v>1761</v>
      </c>
      <c r="T3" s="2985" t="s">
        <v>1762</v>
      </c>
      <c r="U3" s="2985" t="s">
        <v>1763</v>
      </c>
      <c r="V3" s="2985" t="s">
        <v>1764</v>
      </c>
      <c r="W3" s="2985" t="s">
        <v>811</v>
      </c>
      <c r="X3" s="2972"/>
      <c r="Y3" s="2969"/>
      <c r="Z3" s="2972"/>
      <c r="AA3" s="2972"/>
      <c r="AB3" s="2972"/>
      <c r="AC3" s="2969"/>
      <c r="AD3" s="2969"/>
      <c r="AE3" s="2972"/>
      <c r="AF3" s="85"/>
      <c r="AG3" s="85"/>
      <c r="AH3" s="85"/>
      <c r="AI3" s="85"/>
      <c r="AJ3" s="85"/>
      <c r="AK3" s="85"/>
      <c r="AL3" s="85"/>
      <c r="AM3" s="85"/>
      <c r="AN3" s="85"/>
      <c r="AO3" s="85"/>
      <c r="AP3" s="85"/>
      <c r="AQ3" s="85"/>
      <c r="AR3" s="85"/>
      <c r="AS3" s="85"/>
      <c r="AT3" s="85"/>
      <c r="AU3" s="85"/>
      <c r="AV3" s="85"/>
      <c r="AW3" s="85"/>
      <c r="AX3" s="85"/>
    </row>
    <row r="4" spans="1:50" s="52" customFormat="1" ht="72.75" customHeight="1" x14ac:dyDescent="0.25">
      <c r="A4" s="2964"/>
      <c r="B4" s="2961"/>
      <c r="C4" s="2961"/>
      <c r="D4" s="2966"/>
      <c r="E4" s="2978"/>
      <c r="F4" s="457" t="s">
        <v>81</v>
      </c>
      <c r="G4" s="457" t="s">
        <v>442</v>
      </c>
      <c r="H4" s="457" t="s">
        <v>81</v>
      </c>
      <c r="I4" s="457" t="s">
        <v>442</v>
      </c>
      <c r="J4" s="1480" t="s">
        <v>81</v>
      </c>
      <c r="K4" s="1480" t="s">
        <v>442</v>
      </c>
      <c r="L4" s="374" t="str">
        <f>'Звіт 1,2,3'!K20</f>
        <v>10.1 з гр.10 від юридичних осіб</v>
      </c>
      <c r="M4" s="374" t="str">
        <f>'Звіт 1,2,3'!K21</f>
        <v>10.2  з гр.10 від фізичних осіб</v>
      </c>
      <c r="N4" s="2960"/>
      <c r="O4" s="2960"/>
      <c r="P4" s="2960"/>
      <c r="Q4" s="2982"/>
      <c r="R4" s="2986"/>
      <c r="S4" s="2986" t="s">
        <v>1761</v>
      </c>
      <c r="T4" s="2986" t="s">
        <v>1762</v>
      </c>
      <c r="U4" s="2986" t="s">
        <v>1763</v>
      </c>
      <c r="V4" s="2986" t="s">
        <v>1764</v>
      </c>
      <c r="W4" s="2986" t="s">
        <v>811</v>
      </c>
      <c r="X4" s="2973"/>
      <c r="Y4" s="2970"/>
      <c r="Z4" s="2973"/>
      <c r="AA4" s="2973"/>
      <c r="AB4" s="2973"/>
      <c r="AC4" s="2970"/>
      <c r="AD4" s="2970"/>
      <c r="AE4" s="2973"/>
      <c r="AF4" s="85"/>
      <c r="AG4" s="85"/>
      <c r="AH4" s="85"/>
      <c r="AI4" s="85"/>
      <c r="AJ4" s="85"/>
      <c r="AK4" s="85"/>
      <c r="AL4" s="85"/>
      <c r="AM4" s="85"/>
      <c r="AN4" s="85"/>
      <c r="AO4" s="85"/>
      <c r="AP4" s="85"/>
      <c r="AQ4" s="85"/>
      <c r="AR4" s="85"/>
      <c r="AS4" s="85"/>
      <c r="AT4" s="85"/>
      <c r="AU4" s="85"/>
      <c r="AV4" s="85"/>
      <c r="AW4" s="85"/>
      <c r="AX4" s="85"/>
    </row>
    <row r="5" spans="1:50" s="52" customFormat="1" ht="30.6" customHeight="1" x14ac:dyDescent="0.25">
      <c r="A5" s="353" t="s">
        <v>9</v>
      </c>
      <c r="B5" s="449">
        <v>2</v>
      </c>
      <c r="C5" s="449">
        <v>3</v>
      </c>
      <c r="D5" s="449">
        <v>4</v>
      </c>
      <c r="E5" s="449">
        <v>5</v>
      </c>
      <c r="F5" s="449">
        <v>6</v>
      </c>
      <c r="G5" s="449">
        <v>7</v>
      </c>
      <c r="H5" s="449">
        <v>8</v>
      </c>
      <c r="I5" s="449">
        <v>9</v>
      </c>
      <c r="J5" s="1481">
        <v>10</v>
      </c>
      <c r="K5" s="1481">
        <v>11</v>
      </c>
      <c r="L5" s="1481">
        <v>10.1</v>
      </c>
      <c r="M5" s="1481">
        <v>10.199999999999999</v>
      </c>
      <c r="N5" s="449">
        <v>12</v>
      </c>
      <c r="O5" s="449">
        <v>13</v>
      </c>
      <c r="P5" s="449">
        <v>14</v>
      </c>
      <c r="Q5" s="449">
        <v>15</v>
      </c>
      <c r="R5" s="1481">
        <v>15.1</v>
      </c>
      <c r="S5" s="1481">
        <v>15.2</v>
      </c>
      <c r="T5" s="1481">
        <v>15.3</v>
      </c>
      <c r="U5" s="1481">
        <v>15.4</v>
      </c>
      <c r="V5" s="1481">
        <v>15.5</v>
      </c>
      <c r="W5" s="1481">
        <v>15.6</v>
      </c>
      <c r="X5" s="449">
        <v>16</v>
      </c>
      <c r="Y5" s="449">
        <v>17</v>
      </c>
      <c r="Z5" s="449">
        <v>18</v>
      </c>
      <c r="AA5" s="449">
        <v>19</v>
      </c>
      <c r="AB5" s="449">
        <v>20</v>
      </c>
      <c r="AC5" s="449">
        <v>21</v>
      </c>
      <c r="AD5" s="643">
        <v>22</v>
      </c>
      <c r="AE5" s="449">
        <v>23</v>
      </c>
      <c r="AF5" s="85"/>
      <c r="AG5" s="85"/>
      <c r="AH5" s="85"/>
      <c r="AI5" s="85"/>
      <c r="AJ5" s="85"/>
      <c r="AK5" s="85"/>
      <c r="AL5" s="85"/>
      <c r="AM5" s="85"/>
      <c r="AN5" s="85"/>
      <c r="AO5" s="85"/>
      <c r="AP5" s="85"/>
      <c r="AQ5" s="85"/>
      <c r="AR5" s="85"/>
      <c r="AS5" s="85"/>
      <c r="AT5" s="85"/>
      <c r="AU5" s="85"/>
      <c r="AV5" s="85"/>
      <c r="AW5" s="85"/>
      <c r="AX5" s="85"/>
    </row>
    <row r="6" spans="1:50" s="52" customFormat="1" ht="38.1" customHeight="1" x14ac:dyDescent="0.25">
      <c r="A6" s="545" t="s">
        <v>1037</v>
      </c>
      <c r="B6" s="387">
        <f>'Звіт 1,2,3'!F19</f>
        <v>0</v>
      </c>
      <c r="C6" s="387">
        <f>'Звіт 1,2,3'!G19</f>
        <v>27114576</v>
      </c>
      <c r="D6" s="387">
        <f>'Звіт 1,2,3'!H19</f>
        <v>14296309</v>
      </c>
      <c r="E6" s="387">
        <f>'Звіт 1,2,3'!O19</f>
        <v>19202</v>
      </c>
      <c r="F6" s="387">
        <f>'Звіт 1,2,3'!I19</f>
        <v>0</v>
      </c>
      <c r="G6" s="387">
        <f>'Звіт 1,2,3'!J19</f>
        <v>9068303</v>
      </c>
      <c r="H6" s="387">
        <f>'Звіт 1,2,3'!K19</f>
        <v>3191976</v>
      </c>
      <c r="I6" s="387">
        <f>'Звіт 1,2,3'!L19</f>
        <v>95</v>
      </c>
      <c r="J6" s="387">
        <f>'Звіт 1,2,3'!M19</f>
        <v>61275</v>
      </c>
      <c r="K6" s="387">
        <f>'Звіт 1,2,3'!N19</f>
        <v>477416</v>
      </c>
      <c r="L6" s="387">
        <f>'Звіт 1,2,3'!M20</f>
        <v>61275</v>
      </c>
      <c r="M6" s="387">
        <f>'Звіт 1,2,3'!M21</f>
        <v>0</v>
      </c>
      <c r="N6" s="387">
        <f>'Звіт 1,2,3'!I55</f>
        <v>0</v>
      </c>
      <c r="O6" s="387">
        <f>'Звіт 1,2,3'!I56</f>
        <v>0</v>
      </c>
      <c r="P6" s="387">
        <f>'Звіт 1,2,3'!I57</f>
        <v>0</v>
      </c>
      <c r="Q6" s="387">
        <f>'Звіт 1,2,3'!I58</f>
        <v>19202</v>
      </c>
      <c r="R6" s="387">
        <f>'Звіт 1,2,3'!J58</f>
        <v>0</v>
      </c>
      <c r="S6" s="387">
        <f>'Звіт 1,2,3'!K58</f>
        <v>0</v>
      </c>
      <c r="T6" s="387">
        <f>'Звіт 1,2,3'!L58</f>
        <v>0</v>
      </c>
      <c r="U6" s="387">
        <f>'Звіт 1,2,3'!M58</f>
        <v>0</v>
      </c>
      <c r="V6" s="387">
        <f>'Звіт 1,2,3'!N58</f>
        <v>0</v>
      </c>
      <c r="W6" s="387">
        <f>'Звіт 1,2,3'!O58</f>
        <v>19202</v>
      </c>
      <c r="X6" s="387">
        <f>'Звіт 1,2,3'!P19</f>
        <v>0</v>
      </c>
      <c r="Y6" s="387">
        <f>'Звіт 1,2,3'!Q19</f>
        <v>0</v>
      </c>
      <c r="Z6" s="387" t="str">
        <f>'Звіт 1,2,3'!R19</f>
        <v>ПРАВДА</v>
      </c>
      <c r="AA6" s="387">
        <f>'Звіт 1,2,3'!S19</f>
        <v>0</v>
      </c>
      <c r="AB6" s="387">
        <f>'Звіт 1,2,3'!T19</f>
        <v>0</v>
      </c>
      <c r="AC6" s="387">
        <f>'Звіт 1,2,3'!U19</f>
        <v>0</v>
      </c>
      <c r="AD6" s="387">
        <f>'Звіт 1,2,3'!V19</f>
        <v>0</v>
      </c>
      <c r="AE6" s="387" t="str">
        <f>'Звіт 1,2,3'!W19</f>
        <v>ПРАВДА</v>
      </c>
      <c r="AF6" s="85"/>
      <c r="AG6" s="85"/>
      <c r="AH6" s="85"/>
      <c r="AI6" s="85"/>
      <c r="AJ6" s="85"/>
      <c r="AK6" s="85"/>
      <c r="AL6" s="85"/>
      <c r="AM6" s="85"/>
      <c r="AN6" s="85"/>
      <c r="AO6" s="85"/>
      <c r="AP6" s="85"/>
      <c r="AQ6" s="85"/>
      <c r="AR6" s="85"/>
      <c r="AS6" s="85"/>
      <c r="AT6" s="85"/>
      <c r="AU6" s="85"/>
      <c r="AV6" s="85"/>
      <c r="AW6" s="85"/>
      <c r="AX6" s="85"/>
    </row>
    <row r="7" spans="1:50" s="52" customFormat="1" ht="44.65" customHeight="1" x14ac:dyDescent="0.25">
      <c r="A7" s="546" t="s">
        <v>1038</v>
      </c>
      <c r="B7" s="485">
        <f>'Звіт 1,2,3'!F29</f>
        <v>0</v>
      </c>
      <c r="C7" s="485">
        <f>'Звіт 1,2,3'!G29</f>
        <v>10833691</v>
      </c>
      <c r="D7" s="485">
        <f>'Звіт 1,2,3'!H29</f>
        <v>1226602</v>
      </c>
      <c r="E7" s="485">
        <f>'Звіт 1,2,3'!O29</f>
        <v>0</v>
      </c>
      <c r="F7" s="485">
        <f>'Звіт 1,2,3'!I29</f>
        <v>0</v>
      </c>
      <c r="G7" s="485">
        <f>'Звіт 1,2,3'!J29</f>
        <v>9068303</v>
      </c>
      <c r="H7" s="485">
        <f>'Звіт 1,2,3'!K29</f>
        <v>0</v>
      </c>
      <c r="I7" s="485">
        <f>'Звіт 1,2,3'!L29</f>
        <v>95</v>
      </c>
      <c r="J7" s="485">
        <f>'Звіт 1,2,3'!M29</f>
        <v>61275</v>
      </c>
      <c r="K7" s="477">
        <f>'Звіт 1,2,3'!N29</f>
        <v>477416</v>
      </c>
      <c r="L7" s="479"/>
      <c r="M7" s="479"/>
      <c r="N7" s="481"/>
      <c r="O7" s="481"/>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85"/>
      <c r="AS7" s="85"/>
      <c r="AT7" s="85"/>
      <c r="AU7" s="85"/>
      <c r="AV7" s="85"/>
      <c r="AW7" s="85"/>
      <c r="AX7" s="85"/>
    </row>
    <row r="8" spans="1:50" s="52" customFormat="1" ht="27.6" customHeight="1" x14ac:dyDescent="0.25">
      <c r="A8" s="547" t="s">
        <v>1430</v>
      </c>
      <c r="B8" s="485">
        <f>'Звіт 1,2,3'!F30</f>
        <v>0</v>
      </c>
      <c r="C8" s="485">
        <f>'Звіт 1,2,3'!G30</f>
        <v>10644660</v>
      </c>
      <c r="D8" s="485">
        <f>'Звіт 1,2,3'!H30</f>
        <v>1124108</v>
      </c>
      <c r="E8" s="485">
        <f>'Звіт 1,2,3'!O30</f>
        <v>0</v>
      </c>
      <c r="F8" s="485">
        <f>'Звіт 1,2,3'!I30</f>
        <v>0</v>
      </c>
      <c r="G8" s="485">
        <f>'Звіт 1,2,3'!J30</f>
        <v>9068303</v>
      </c>
      <c r="H8" s="485">
        <f>'Звіт 1,2,3'!K30</f>
        <v>0</v>
      </c>
      <c r="I8" s="485">
        <f>'Звіт 1,2,3'!L30</f>
        <v>0</v>
      </c>
      <c r="J8" s="485">
        <f>'Звіт 1,2,3'!M30</f>
        <v>0</v>
      </c>
      <c r="K8" s="477">
        <f>'Звіт 1,2,3'!N30</f>
        <v>452249</v>
      </c>
      <c r="L8" s="479"/>
      <c r="M8" s="479"/>
      <c r="N8" s="481"/>
      <c r="O8" s="481"/>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85"/>
      <c r="AS8" s="85"/>
      <c r="AT8" s="85"/>
      <c r="AU8" s="85"/>
      <c r="AV8" s="85"/>
      <c r="AW8" s="85"/>
      <c r="AX8" s="85"/>
    </row>
    <row r="9" spans="1:50" s="52" customFormat="1" ht="35.25" customHeight="1" x14ac:dyDescent="0.25">
      <c r="A9" s="547" t="s">
        <v>1431</v>
      </c>
      <c r="B9" s="485">
        <f>'Звіт 1,2,3'!F31</f>
        <v>0</v>
      </c>
      <c r="C9" s="485">
        <f>'Звіт 1,2,3'!G31</f>
        <v>9696136</v>
      </c>
      <c r="D9" s="485">
        <f>'Звіт 1,2,3'!H31</f>
        <v>231773</v>
      </c>
      <c r="E9" s="485">
        <f>'Звіт 1,2,3'!O31</f>
        <v>0</v>
      </c>
      <c r="F9" s="485">
        <f>'Звіт 1,2,3'!I31</f>
        <v>0</v>
      </c>
      <c r="G9" s="485">
        <f>'Звіт 1,2,3'!J31</f>
        <v>9068303</v>
      </c>
      <c r="H9" s="485">
        <f>'Звіт 1,2,3'!K31</f>
        <v>0</v>
      </c>
      <c r="I9" s="485">
        <f>'Звіт 1,2,3'!L31</f>
        <v>0</v>
      </c>
      <c r="J9" s="485">
        <f>'Звіт 1,2,3'!M31</f>
        <v>0</v>
      </c>
      <c r="K9" s="477">
        <f>'Звіт 1,2,3'!N31</f>
        <v>396060</v>
      </c>
      <c r="L9" s="479"/>
      <c r="M9" s="479"/>
      <c r="N9" s="481"/>
      <c r="O9" s="481"/>
      <c r="P9" s="115"/>
      <c r="Q9" s="115"/>
      <c r="R9" s="2983"/>
      <c r="S9" s="2984"/>
      <c r="T9" s="2984"/>
      <c r="U9" s="2984"/>
      <c r="V9" s="2984"/>
      <c r="W9" s="1488"/>
      <c r="X9" s="2976"/>
      <c r="Y9" s="115"/>
      <c r="Z9" s="115"/>
      <c r="AA9" s="115"/>
      <c r="AB9" s="115"/>
      <c r="AC9" s="115"/>
      <c r="AD9" s="115"/>
      <c r="AE9" s="115"/>
      <c r="AF9" s="115"/>
      <c r="AG9" s="115"/>
      <c r="AH9" s="115"/>
      <c r="AI9" s="115"/>
      <c r="AJ9" s="115"/>
      <c r="AK9" s="115"/>
      <c r="AL9" s="115"/>
      <c r="AM9" s="115"/>
      <c r="AN9" s="115"/>
      <c r="AO9" s="115"/>
      <c r="AP9" s="115"/>
      <c r="AQ9" s="115"/>
      <c r="AR9" s="85"/>
      <c r="AS9" s="85"/>
      <c r="AT9" s="85"/>
      <c r="AU9" s="85"/>
      <c r="AV9" s="85"/>
      <c r="AW9" s="85"/>
      <c r="AX9" s="85"/>
    </row>
    <row r="10" spans="1:50" s="52" customFormat="1" ht="30.6" customHeight="1" x14ac:dyDescent="0.25">
      <c r="A10" s="547" t="s">
        <v>1432</v>
      </c>
      <c r="B10" s="485">
        <f>'Звіт 1,2,3'!F32</f>
        <v>0</v>
      </c>
      <c r="C10" s="485">
        <f>'Звіт 1,2,3'!G32</f>
        <v>47122</v>
      </c>
      <c r="D10" s="485">
        <f>'Звіт 1,2,3'!H32</f>
        <v>31145</v>
      </c>
      <c r="E10" s="485">
        <f>'Звіт 1,2,3'!O32</f>
        <v>0</v>
      </c>
      <c r="F10" s="485">
        <f>'Звіт 1,2,3'!I32</f>
        <v>0</v>
      </c>
      <c r="G10" s="485">
        <f>'Звіт 1,2,3'!J32</f>
        <v>0</v>
      </c>
      <c r="H10" s="485">
        <f>'Звіт 1,2,3'!K32</f>
        <v>0</v>
      </c>
      <c r="I10" s="485">
        <f>'Звіт 1,2,3'!L32</f>
        <v>0</v>
      </c>
      <c r="J10" s="485">
        <f>'Звіт 1,2,3'!M32</f>
        <v>0</v>
      </c>
      <c r="K10" s="477">
        <f>'Звіт 1,2,3'!N32</f>
        <v>15977</v>
      </c>
      <c r="L10" s="479"/>
      <c r="M10" s="479"/>
      <c r="N10" s="479"/>
      <c r="O10" s="143"/>
      <c r="P10" s="115"/>
      <c r="Q10" s="115"/>
      <c r="R10" s="2983"/>
      <c r="S10" s="2984"/>
      <c r="T10" s="2984"/>
      <c r="U10" s="2984"/>
      <c r="V10" s="2984"/>
      <c r="W10" s="1488"/>
      <c r="X10" s="2976"/>
      <c r="Y10" s="115"/>
      <c r="Z10" s="115"/>
      <c r="AA10" s="115"/>
      <c r="AB10" s="115"/>
      <c r="AC10" s="115"/>
      <c r="AD10" s="115"/>
      <c r="AE10" s="115"/>
      <c r="AF10" s="115"/>
      <c r="AG10" s="115"/>
      <c r="AH10" s="115"/>
      <c r="AI10" s="115"/>
      <c r="AJ10" s="115"/>
      <c r="AK10" s="115"/>
      <c r="AL10" s="115"/>
      <c r="AM10" s="115"/>
      <c r="AN10" s="115"/>
      <c r="AO10" s="115"/>
      <c r="AP10" s="115"/>
      <c r="AQ10" s="115"/>
      <c r="AR10" s="85"/>
      <c r="AS10" s="85"/>
      <c r="AT10" s="85"/>
      <c r="AU10" s="85"/>
      <c r="AV10" s="85"/>
      <c r="AW10" s="85"/>
      <c r="AX10" s="85"/>
    </row>
    <row r="11" spans="1:50" s="52" customFormat="1" ht="82.9" customHeight="1" x14ac:dyDescent="0.3">
      <c r="A11" s="547" t="s">
        <v>1433</v>
      </c>
      <c r="B11" s="485">
        <f>'Звіт 1,2,3'!F33</f>
        <v>0</v>
      </c>
      <c r="C11" s="485">
        <f>'Звіт 1,2,3'!G33</f>
        <v>0</v>
      </c>
      <c r="D11" s="485">
        <f>'Звіт 1,2,3'!H33</f>
        <v>0</v>
      </c>
      <c r="E11" s="485">
        <f>'Звіт 1,2,3'!O33</f>
        <v>0</v>
      </c>
      <c r="F11" s="485">
        <f>'Звіт 1,2,3'!I33</f>
        <v>0</v>
      </c>
      <c r="G11" s="485">
        <f>'Звіт 1,2,3'!J33</f>
        <v>0</v>
      </c>
      <c r="H11" s="485">
        <f>'Звіт 1,2,3'!K33</f>
        <v>0</v>
      </c>
      <c r="I11" s="485">
        <f>'Звіт 1,2,3'!L33</f>
        <v>0</v>
      </c>
      <c r="J11" s="485">
        <f>'Звіт 1,2,3'!M33</f>
        <v>0</v>
      </c>
      <c r="K11" s="477">
        <f>'Звіт 1,2,3'!N33</f>
        <v>0</v>
      </c>
      <c r="L11" s="479"/>
      <c r="M11" s="479"/>
      <c r="N11" s="479"/>
      <c r="O11" s="143"/>
      <c r="P11" s="115"/>
      <c r="Q11" s="384"/>
      <c r="R11" s="2983"/>
      <c r="S11" s="2984"/>
      <c r="T11" s="2984"/>
      <c r="U11" s="2984"/>
      <c r="V11" s="2984"/>
      <c r="W11" s="1488"/>
      <c r="X11" s="2976"/>
      <c r="Y11" s="385"/>
      <c r="Z11" s="386"/>
      <c r="AA11" s="386"/>
      <c r="AB11" s="386"/>
      <c r="AC11" s="480"/>
      <c r="AD11" s="480"/>
      <c r="AE11" s="115"/>
      <c r="AF11" s="115"/>
      <c r="AG11" s="115"/>
      <c r="AH11" s="115"/>
      <c r="AI11" s="115"/>
      <c r="AJ11" s="115"/>
      <c r="AK11" s="115"/>
      <c r="AL11" s="115"/>
      <c r="AM11" s="115"/>
      <c r="AN11" s="115"/>
      <c r="AO11" s="115"/>
      <c r="AP11" s="115"/>
      <c r="AQ11" s="115"/>
      <c r="AR11" s="85"/>
      <c r="AS11" s="85"/>
      <c r="AT11" s="85"/>
      <c r="AU11" s="85"/>
      <c r="AV11" s="85"/>
      <c r="AW11" s="85"/>
      <c r="AX11" s="85"/>
    </row>
    <row r="12" spans="1:50" s="52" customFormat="1" ht="30" customHeight="1" x14ac:dyDescent="0.25">
      <c r="A12" s="547" t="s">
        <v>1434</v>
      </c>
      <c r="B12" s="485">
        <f>'Звіт 1,2,3'!F34</f>
        <v>0</v>
      </c>
      <c r="C12" s="485">
        <f>'Звіт 1,2,3'!G34</f>
        <v>0</v>
      </c>
      <c r="D12" s="485">
        <f>'Звіт 1,2,3'!H34</f>
        <v>0</v>
      </c>
      <c r="E12" s="485">
        <f>'Звіт 1,2,3'!O34</f>
        <v>0</v>
      </c>
      <c r="F12" s="485">
        <f>'Звіт 1,2,3'!I34</f>
        <v>0</v>
      </c>
      <c r="G12" s="485">
        <f>'Звіт 1,2,3'!J34</f>
        <v>0</v>
      </c>
      <c r="H12" s="485">
        <f>'Звіт 1,2,3'!K34</f>
        <v>0</v>
      </c>
      <c r="I12" s="485">
        <f>'Звіт 1,2,3'!L34</f>
        <v>0</v>
      </c>
      <c r="J12" s="485">
        <f>'Звіт 1,2,3'!M34</f>
        <v>0</v>
      </c>
      <c r="K12" s="477">
        <f>'Звіт 1,2,3'!N34</f>
        <v>0</v>
      </c>
      <c r="L12" s="479"/>
      <c r="M12" s="479"/>
      <c r="N12" s="479"/>
      <c r="O12" s="143"/>
      <c r="P12" s="115"/>
      <c r="Q12" s="482"/>
      <c r="R12" s="482"/>
      <c r="S12" s="482"/>
      <c r="T12" s="482"/>
      <c r="U12" s="482"/>
      <c r="V12" s="482"/>
      <c r="W12" s="482"/>
      <c r="X12" s="2975"/>
      <c r="Y12" s="2975"/>
      <c r="Z12" s="2975"/>
      <c r="AA12" s="2975"/>
      <c r="AB12" s="2975"/>
      <c r="AC12" s="483"/>
      <c r="AD12" s="483"/>
      <c r="AE12" s="115"/>
      <c r="AF12" s="115"/>
      <c r="AG12" s="115"/>
      <c r="AH12" s="115"/>
      <c r="AI12" s="115"/>
      <c r="AJ12" s="115"/>
      <c r="AK12" s="115"/>
      <c r="AL12" s="115"/>
      <c r="AM12" s="115"/>
      <c r="AN12" s="115"/>
      <c r="AO12" s="115"/>
      <c r="AP12" s="115"/>
      <c r="AQ12" s="115"/>
      <c r="AR12" s="85"/>
      <c r="AS12" s="85"/>
      <c r="AT12" s="85"/>
      <c r="AU12" s="85"/>
      <c r="AV12" s="85"/>
      <c r="AW12" s="85"/>
      <c r="AX12" s="85"/>
    </row>
    <row r="13" spans="1:50" s="52" customFormat="1" ht="25.9" customHeight="1" x14ac:dyDescent="0.25">
      <c r="A13" s="547" t="s">
        <v>1435</v>
      </c>
      <c r="B13" s="485">
        <f>'Звіт 1,2,3'!F35</f>
        <v>0</v>
      </c>
      <c r="C13" s="485">
        <f>'Звіт 1,2,3'!G35</f>
        <v>0</v>
      </c>
      <c r="D13" s="485">
        <f>'Звіт 1,2,3'!H35</f>
        <v>0</v>
      </c>
      <c r="E13" s="485">
        <f>'Звіт 1,2,3'!O35</f>
        <v>0</v>
      </c>
      <c r="F13" s="485">
        <f>'Звіт 1,2,3'!I35</f>
        <v>0</v>
      </c>
      <c r="G13" s="485">
        <f>'Звіт 1,2,3'!J35</f>
        <v>0</v>
      </c>
      <c r="H13" s="485">
        <f>'Звіт 1,2,3'!K35</f>
        <v>0</v>
      </c>
      <c r="I13" s="485">
        <f>'Звіт 1,2,3'!L35</f>
        <v>0</v>
      </c>
      <c r="J13" s="485">
        <f>'Звіт 1,2,3'!M35</f>
        <v>0</v>
      </c>
      <c r="K13" s="477">
        <f>'Звіт 1,2,3'!N35</f>
        <v>0</v>
      </c>
      <c r="L13" s="479"/>
      <c r="M13" s="479"/>
      <c r="N13" s="479"/>
      <c r="O13" s="143"/>
      <c r="P13" s="115"/>
      <c r="Q13" s="482"/>
      <c r="R13" s="482"/>
      <c r="S13" s="482"/>
      <c r="T13" s="482"/>
      <c r="U13" s="482"/>
      <c r="V13" s="482"/>
      <c r="W13" s="482"/>
      <c r="X13" s="2975"/>
      <c r="Y13" s="2975"/>
      <c r="Z13" s="2975"/>
      <c r="AA13" s="2975"/>
      <c r="AB13" s="2975"/>
      <c r="AC13" s="482"/>
      <c r="AD13" s="482"/>
      <c r="AE13" s="115"/>
      <c r="AF13" s="115"/>
      <c r="AG13" s="115"/>
      <c r="AH13" s="115"/>
      <c r="AI13" s="115"/>
      <c r="AJ13" s="115"/>
      <c r="AK13" s="115"/>
      <c r="AL13" s="115"/>
      <c r="AM13" s="115"/>
      <c r="AN13" s="115"/>
      <c r="AO13" s="115"/>
      <c r="AP13" s="115"/>
      <c r="AQ13" s="115"/>
      <c r="AR13" s="85"/>
      <c r="AS13" s="85"/>
      <c r="AT13" s="85"/>
      <c r="AU13" s="85"/>
      <c r="AV13" s="85"/>
      <c r="AW13" s="85"/>
      <c r="AX13" s="85"/>
    </row>
    <row r="14" spans="1:50" s="52" customFormat="1" ht="26.1" customHeight="1" x14ac:dyDescent="0.25">
      <c r="A14" s="547" t="s">
        <v>1436</v>
      </c>
      <c r="B14" s="485">
        <f>'Звіт 1,2,3'!F36</f>
        <v>0</v>
      </c>
      <c r="C14" s="485">
        <f>'Звіт 1,2,3'!G36</f>
        <v>0</v>
      </c>
      <c r="D14" s="485">
        <f>'Звіт 1,2,3'!H36</f>
        <v>0</v>
      </c>
      <c r="E14" s="485">
        <f>'Звіт 1,2,3'!O36</f>
        <v>0</v>
      </c>
      <c r="F14" s="485">
        <f>'Звіт 1,2,3'!I36</f>
        <v>0</v>
      </c>
      <c r="G14" s="485">
        <f>'Звіт 1,2,3'!J36</f>
        <v>0</v>
      </c>
      <c r="H14" s="485">
        <f>'Звіт 1,2,3'!K36</f>
        <v>0</v>
      </c>
      <c r="I14" s="485">
        <f>'Звіт 1,2,3'!L36</f>
        <v>0</v>
      </c>
      <c r="J14" s="485">
        <f>'Звіт 1,2,3'!M36</f>
        <v>0</v>
      </c>
      <c r="K14" s="477">
        <f>'Звіт 1,2,3'!N36</f>
        <v>0</v>
      </c>
      <c r="L14" s="479"/>
      <c r="M14" s="479"/>
      <c r="N14" s="479"/>
      <c r="O14" s="143"/>
      <c r="P14" s="115"/>
      <c r="Q14" s="142"/>
      <c r="R14" s="142"/>
      <c r="S14" s="142"/>
      <c r="T14" s="142"/>
      <c r="U14" s="142"/>
      <c r="V14" s="142"/>
      <c r="W14" s="142"/>
      <c r="X14" s="2974"/>
      <c r="Y14" s="2974"/>
      <c r="Z14" s="2974"/>
      <c r="AA14" s="2974"/>
      <c r="AB14" s="2974"/>
      <c r="AC14" s="484"/>
      <c r="AD14" s="484"/>
      <c r="AE14" s="115"/>
      <c r="AF14" s="115"/>
      <c r="AG14" s="115"/>
      <c r="AH14" s="115"/>
      <c r="AI14" s="115"/>
      <c r="AJ14" s="115"/>
      <c r="AK14" s="115"/>
      <c r="AL14" s="115"/>
      <c r="AM14" s="115"/>
      <c r="AN14" s="115"/>
      <c r="AO14" s="115"/>
      <c r="AP14" s="115"/>
      <c r="AQ14" s="115"/>
      <c r="AR14" s="85"/>
      <c r="AS14" s="85"/>
      <c r="AT14" s="85"/>
      <c r="AU14" s="85"/>
      <c r="AV14" s="85"/>
      <c r="AW14" s="85"/>
      <c r="AX14" s="85"/>
    </row>
    <row r="15" spans="1:50" s="52" customFormat="1" ht="31.35" customHeight="1" x14ac:dyDescent="0.25">
      <c r="A15" s="547" t="s">
        <v>1437</v>
      </c>
      <c r="B15" s="485">
        <f>'Звіт 1,2,3'!F37</f>
        <v>0</v>
      </c>
      <c r="C15" s="485">
        <f>'Звіт 1,2,3'!G37</f>
        <v>289726</v>
      </c>
      <c r="D15" s="485">
        <f>'Звіт 1,2,3'!H37</f>
        <v>250800</v>
      </c>
      <c r="E15" s="485">
        <f>'Звіт 1,2,3'!O37</f>
        <v>0</v>
      </c>
      <c r="F15" s="485">
        <f>'Звіт 1,2,3'!I37</f>
        <v>0</v>
      </c>
      <c r="G15" s="485">
        <f>'Звіт 1,2,3'!J37</f>
        <v>0</v>
      </c>
      <c r="H15" s="485">
        <f>'Звіт 1,2,3'!K37</f>
        <v>0</v>
      </c>
      <c r="I15" s="485">
        <f>'Звіт 1,2,3'!L37</f>
        <v>0</v>
      </c>
      <c r="J15" s="485">
        <f>'Звіт 1,2,3'!M37</f>
        <v>0</v>
      </c>
      <c r="K15" s="477">
        <f>'Звіт 1,2,3'!N37</f>
        <v>38926</v>
      </c>
      <c r="L15" s="479"/>
      <c r="M15" s="479"/>
      <c r="N15" s="479"/>
      <c r="O15" s="143"/>
      <c r="P15" s="115"/>
      <c r="Q15" s="142"/>
      <c r="R15" s="142"/>
      <c r="S15" s="142"/>
      <c r="T15" s="142"/>
      <c r="U15" s="142"/>
      <c r="V15" s="142"/>
      <c r="W15" s="142"/>
      <c r="X15" s="2967"/>
      <c r="Y15" s="2967"/>
      <c r="Z15" s="2967"/>
      <c r="AA15" s="2967"/>
      <c r="AB15" s="2967"/>
      <c r="AC15" s="479"/>
      <c r="AD15" s="479"/>
      <c r="AE15" s="115"/>
      <c r="AF15" s="115"/>
      <c r="AG15" s="115"/>
      <c r="AH15" s="115"/>
      <c r="AI15" s="115"/>
      <c r="AJ15" s="115"/>
      <c r="AK15" s="115"/>
      <c r="AL15" s="115"/>
      <c r="AM15" s="115"/>
      <c r="AN15" s="115"/>
      <c r="AO15" s="115"/>
      <c r="AP15" s="115"/>
      <c r="AQ15" s="115"/>
      <c r="AR15" s="85"/>
      <c r="AS15" s="85"/>
      <c r="AT15" s="85"/>
      <c r="AU15" s="85"/>
      <c r="AV15" s="85"/>
      <c r="AW15" s="85"/>
      <c r="AX15" s="85"/>
    </row>
    <row r="16" spans="1:50" s="52" customFormat="1" ht="28.9" customHeight="1" x14ac:dyDescent="0.25">
      <c r="A16" s="547" t="s">
        <v>1438</v>
      </c>
      <c r="B16" s="485">
        <f>'Звіт 1,2,3'!F38</f>
        <v>0</v>
      </c>
      <c r="C16" s="485">
        <f>'Звіт 1,2,3'!G38</f>
        <v>610390</v>
      </c>
      <c r="D16" s="485">
        <f>'Звіт 1,2,3'!H38</f>
        <v>610390</v>
      </c>
      <c r="E16" s="485">
        <f>'Звіт 1,2,3'!O38</f>
        <v>0</v>
      </c>
      <c r="F16" s="485">
        <f>'Звіт 1,2,3'!I38</f>
        <v>0</v>
      </c>
      <c r="G16" s="485">
        <f>'Звіт 1,2,3'!J38</f>
        <v>0</v>
      </c>
      <c r="H16" s="485">
        <f>'Звіт 1,2,3'!K38</f>
        <v>0</v>
      </c>
      <c r="I16" s="485">
        <f>'Звіт 1,2,3'!L38</f>
        <v>0</v>
      </c>
      <c r="J16" s="485">
        <f>'Звіт 1,2,3'!M38</f>
        <v>0</v>
      </c>
      <c r="K16" s="477">
        <f>'Звіт 1,2,3'!N38</f>
        <v>0</v>
      </c>
      <c r="L16" s="479"/>
      <c r="M16" s="479"/>
      <c r="N16" s="479"/>
      <c r="O16" s="143"/>
      <c r="P16" s="89"/>
      <c r="Q16" s="142"/>
      <c r="R16" s="142"/>
      <c r="S16" s="142"/>
      <c r="T16" s="142"/>
      <c r="U16" s="142"/>
      <c r="V16" s="142"/>
      <c r="W16" s="142"/>
      <c r="X16" s="2967"/>
      <c r="Y16" s="2967"/>
      <c r="Z16" s="2967"/>
      <c r="AA16" s="2967"/>
      <c r="AB16" s="2967"/>
      <c r="AC16" s="479"/>
      <c r="AD16" s="479"/>
      <c r="AE16" s="115"/>
      <c r="AF16" s="115"/>
      <c r="AG16" s="115"/>
      <c r="AH16" s="115"/>
      <c r="AI16" s="115"/>
      <c r="AJ16" s="115"/>
      <c r="AK16" s="115"/>
      <c r="AL16" s="115"/>
      <c r="AM16" s="115"/>
      <c r="AN16" s="115"/>
      <c r="AO16" s="115"/>
      <c r="AP16" s="115"/>
      <c r="AQ16" s="115"/>
      <c r="AR16" s="85"/>
      <c r="AS16" s="85"/>
      <c r="AT16" s="85"/>
      <c r="AU16" s="85"/>
      <c r="AV16" s="85"/>
      <c r="AW16" s="85"/>
      <c r="AX16" s="85"/>
    </row>
    <row r="17" spans="1:50" s="52" customFormat="1" ht="27" customHeight="1" x14ac:dyDescent="0.25">
      <c r="A17" s="547" t="s">
        <v>1439</v>
      </c>
      <c r="B17" s="485">
        <f>'Звіт 1,2,3'!F39</f>
        <v>0</v>
      </c>
      <c r="C17" s="485">
        <f>'Звіт 1,2,3'!G39</f>
        <v>1286</v>
      </c>
      <c r="D17" s="485">
        <f>'Звіт 1,2,3'!H39</f>
        <v>0</v>
      </c>
      <c r="E17" s="485">
        <f>'Звіт 1,2,3'!O39</f>
        <v>0</v>
      </c>
      <c r="F17" s="485">
        <f>'Звіт 1,2,3'!I39</f>
        <v>0</v>
      </c>
      <c r="G17" s="485">
        <f>'Звіт 1,2,3'!J39</f>
        <v>0</v>
      </c>
      <c r="H17" s="485">
        <f>'Звіт 1,2,3'!K39</f>
        <v>0</v>
      </c>
      <c r="I17" s="485">
        <f>'Звіт 1,2,3'!L39</f>
        <v>0</v>
      </c>
      <c r="J17" s="485">
        <f>'Звіт 1,2,3'!M39</f>
        <v>0</v>
      </c>
      <c r="K17" s="477">
        <f>'Звіт 1,2,3'!N39</f>
        <v>1286</v>
      </c>
      <c r="L17" s="479"/>
      <c r="M17" s="479"/>
      <c r="N17" s="479"/>
      <c r="O17" s="143"/>
      <c r="P17" s="115"/>
      <c r="Q17" s="142"/>
      <c r="R17" s="142"/>
      <c r="S17" s="142"/>
      <c r="T17" s="142"/>
      <c r="U17" s="142"/>
      <c r="V17" s="142"/>
      <c r="W17" s="142"/>
      <c r="X17" s="2967"/>
      <c r="Y17" s="2967"/>
      <c r="Z17" s="2967"/>
      <c r="AA17" s="2967"/>
      <c r="AB17" s="2967"/>
      <c r="AC17" s="479"/>
      <c r="AD17" s="479"/>
      <c r="AE17" s="115"/>
      <c r="AF17" s="115"/>
      <c r="AG17" s="115"/>
      <c r="AH17" s="115"/>
      <c r="AI17" s="115"/>
      <c r="AJ17" s="115"/>
      <c r="AK17" s="115"/>
      <c r="AL17" s="115"/>
      <c r="AM17" s="115"/>
      <c r="AN17" s="115"/>
      <c r="AO17" s="115"/>
      <c r="AP17" s="115"/>
      <c r="AQ17" s="115"/>
      <c r="AR17" s="85"/>
      <c r="AS17" s="85"/>
      <c r="AT17" s="85"/>
      <c r="AU17" s="85"/>
      <c r="AV17" s="85"/>
      <c r="AW17" s="85"/>
      <c r="AX17" s="85"/>
    </row>
    <row r="18" spans="1:50" s="52" customFormat="1" ht="24" customHeight="1" x14ac:dyDescent="0.25">
      <c r="A18" s="547" t="s">
        <v>1440</v>
      </c>
      <c r="B18" s="485">
        <f>'Звіт 1,2,3'!F40</f>
        <v>0</v>
      </c>
      <c r="C18" s="485">
        <f>'Звіт 1,2,3'!G40</f>
        <v>0</v>
      </c>
      <c r="D18" s="485">
        <f>'Звіт 1,2,3'!H40</f>
        <v>0</v>
      </c>
      <c r="E18" s="485">
        <f>'Звіт 1,2,3'!O40</f>
        <v>0</v>
      </c>
      <c r="F18" s="485">
        <f>'Звіт 1,2,3'!I40</f>
        <v>0</v>
      </c>
      <c r="G18" s="485">
        <f>'Звіт 1,2,3'!J40</f>
        <v>0</v>
      </c>
      <c r="H18" s="485">
        <f>'Звіт 1,2,3'!K40</f>
        <v>0</v>
      </c>
      <c r="I18" s="485">
        <f>'Звіт 1,2,3'!L40</f>
        <v>0</v>
      </c>
      <c r="J18" s="485">
        <f>'Звіт 1,2,3'!M40</f>
        <v>0</v>
      </c>
      <c r="K18" s="477">
        <f>'Звіт 1,2,3'!N40</f>
        <v>0</v>
      </c>
      <c r="L18" s="479"/>
      <c r="M18" s="479"/>
      <c r="N18" s="479"/>
      <c r="O18" s="143"/>
      <c r="P18" s="115"/>
      <c r="Q18" s="142"/>
      <c r="R18" s="142"/>
      <c r="S18" s="142"/>
      <c r="T18" s="142"/>
      <c r="U18" s="142"/>
      <c r="V18" s="142"/>
      <c r="W18" s="142"/>
      <c r="X18" s="2967"/>
      <c r="Y18" s="2967"/>
      <c r="Z18" s="2967"/>
      <c r="AA18" s="2967"/>
      <c r="AB18" s="2967"/>
      <c r="AC18" s="479"/>
      <c r="AD18" s="479"/>
      <c r="AE18" s="115"/>
      <c r="AF18" s="115"/>
      <c r="AG18" s="115"/>
      <c r="AH18" s="115"/>
      <c r="AI18" s="115"/>
      <c r="AJ18" s="115"/>
      <c r="AK18" s="115"/>
      <c r="AL18" s="115"/>
      <c r="AM18" s="115"/>
      <c r="AN18" s="115"/>
      <c r="AO18" s="115"/>
      <c r="AP18" s="115"/>
      <c r="AQ18" s="115"/>
      <c r="AR18" s="85"/>
      <c r="AS18" s="85"/>
      <c r="AT18" s="85"/>
      <c r="AU18" s="85"/>
      <c r="AV18" s="85"/>
      <c r="AW18" s="85"/>
      <c r="AX18" s="85"/>
    </row>
    <row r="19" spans="1:50" s="52" customFormat="1" ht="27" customHeight="1" x14ac:dyDescent="0.25">
      <c r="A19" s="547" t="s">
        <v>1441</v>
      </c>
      <c r="B19" s="485">
        <f>'Звіт 1,2,3'!F41</f>
        <v>0</v>
      </c>
      <c r="C19" s="485">
        <f>'Звіт 1,2,3'!G41</f>
        <v>82741</v>
      </c>
      <c r="D19" s="485">
        <f>'Звіт 1,2,3'!H41</f>
        <v>45530</v>
      </c>
      <c r="E19" s="485">
        <f>'Звіт 1,2,3'!O41</f>
        <v>0</v>
      </c>
      <c r="F19" s="485">
        <f>'Звіт 1,2,3'!I41</f>
        <v>0</v>
      </c>
      <c r="G19" s="485">
        <f>'Звіт 1,2,3'!J41</f>
        <v>0</v>
      </c>
      <c r="H19" s="485">
        <f>'Звіт 1,2,3'!K41</f>
        <v>0</v>
      </c>
      <c r="I19" s="485">
        <f>'Звіт 1,2,3'!L41</f>
        <v>0</v>
      </c>
      <c r="J19" s="485">
        <f>'Звіт 1,2,3'!M41</f>
        <v>36283</v>
      </c>
      <c r="K19" s="477">
        <f>'Звіт 1,2,3'!N41</f>
        <v>928</v>
      </c>
      <c r="L19" s="479"/>
      <c r="M19" s="479"/>
      <c r="N19" s="479"/>
      <c r="O19" s="143"/>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85"/>
      <c r="AS19" s="85"/>
      <c r="AT19" s="85"/>
      <c r="AU19" s="85"/>
      <c r="AV19" s="85"/>
      <c r="AW19" s="85"/>
      <c r="AX19" s="85"/>
    </row>
    <row r="20" spans="1:50" s="52" customFormat="1" ht="24.6" customHeight="1" x14ac:dyDescent="0.25">
      <c r="A20" s="547" t="s">
        <v>1442</v>
      </c>
      <c r="B20" s="485">
        <f>'Звіт 1,2,3'!F42</f>
        <v>0</v>
      </c>
      <c r="C20" s="485">
        <f>'Звіт 1,2,3'!G42</f>
        <v>0</v>
      </c>
      <c r="D20" s="485">
        <f>'Звіт 1,2,3'!H42</f>
        <v>0</v>
      </c>
      <c r="E20" s="485">
        <f>'Звіт 1,2,3'!O42</f>
        <v>0</v>
      </c>
      <c r="F20" s="485">
        <f>'Звіт 1,2,3'!I42</f>
        <v>0</v>
      </c>
      <c r="G20" s="485">
        <f>'Звіт 1,2,3'!J42</f>
        <v>0</v>
      </c>
      <c r="H20" s="485">
        <f>'Звіт 1,2,3'!K42</f>
        <v>0</v>
      </c>
      <c r="I20" s="485">
        <f>'Звіт 1,2,3'!L42</f>
        <v>0</v>
      </c>
      <c r="J20" s="485">
        <f>'Звіт 1,2,3'!M42</f>
        <v>0</v>
      </c>
      <c r="K20" s="477">
        <f>'Звіт 1,2,3'!N42</f>
        <v>0</v>
      </c>
      <c r="L20" s="479"/>
      <c r="M20" s="479"/>
      <c r="N20" s="479"/>
      <c r="O20" s="143"/>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85"/>
      <c r="AS20" s="85"/>
      <c r="AT20" s="85"/>
      <c r="AU20" s="85"/>
      <c r="AV20" s="85"/>
      <c r="AW20" s="85"/>
      <c r="AX20" s="85"/>
    </row>
    <row r="21" spans="1:50" ht="31.35" customHeight="1" x14ac:dyDescent="0.25">
      <c r="A21" s="547" t="s">
        <v>1443</v>
      </c>
      <c r="B21" s="485">
        <f>'Звіт 1,2,3'!F43</f>
        <v>0</v>
      </c>
      <c r="C21" s="485">
        <f>'Звіт 1,2,3'!G43</f>
        <v>46397</v>
      </c>
      <c r="D21" s="485">
        <f>'Звіт 1,2,3'!H43</f>
        <v>46397</v>
      </c>
      <c r="E21" s="485">
        <f>'Звіт 1,2,3'!O43</f>
        <v>0</v>
      </c>
      <c r="F21" s="485">
        <f>'Звіт 1,2,3'!I43</f>
        <v>0</v>
      </c>
      <c r="G21" s="485">
        <f>'Звіт 1,2,3'!J43</f>
        <v>0</v>
      </c>
      <c r="H21" s="485">
        <f>'Звіт 1,2,3'!K43</f>
        <v>0</v>
      </c>
      <c r="I21" s="485">
        <f>'Звіт 1,2,3'!L43</f>
        <v>0</v>
      </c>
      <c r="J21" s="485">
        <f>'Звіт 1,2,3'!M43</f>
        <v>0</v>
      </c>
      <c r="K21" s="477">
        <f>'Звіт 1,2,3'!N43</f>
        <v>0</v>
      </c>
      <c r="L21" s="479"/>
      <c r="M21" s="479"/>
      <c r="N21" s="479"/>
      <c r="O21" s="4"/>
      <c r="P21" s="115"/>
      <c r="Q21" s="115"/>
      <c r="R21" s="115"/>
      <c r="S21" s="115"/>
      <c r="T21" s="115"/>
      <c r="U21" s="115"/>
      <c r="V21" s="115"/>
      <c r="W21" s="115"/>
      <c r="X21" s="115"/>
      <c r="Y21" s="115"/>
      <c r="Z21" s="89"/>
      <c r="AA21" s="89"/>
      <c r="AB21" s="89"/>
      <c r="AC21" s="89"/>
      <c r="AD21" s="89"/>
      <c r="AE21" s="89"/>
      <c r="AF21" s="89"/>
      <c r="AG21" s="89"/>
      <c r="AH21" s="89"/>
      <c r="AI21" s="89"/>
      <c r="AJ21" s="89"/>
      <c r="AK21" s="89"/>
      <c r="AL21" s="89"/>
      <c r="AM21" s="89"/>
      <c r="AN21" s="89"/>
      <c r="AO21" s="89"/>
      <c r="AP21" s="89"/>
      <c r="AQ21" s="89"/>
    </row>
    <row r="22" spans="1:50" ht="30.6" customHeight="1" x14ac:dyDescent="0.25">
      <c r="A22" s="547" t="s">
        <v>1444</v>
      </c>
      <c r="B22" s="485">
        <f>'Звіт 1,2,3'!F44</f>
        <v>0</v>
      </c>
      <c r="C22" s="485">
        <f>'Звіт 1,2,3'!G44</f>
        <v>37211</v>
      </c>
      <c r="D22" s="485">
        <f>'Звіт 1,2,3'!H44</f>
        <v>4328</v>
      </c>
      <c r="E22" s="485">
        <f>'Звіт 1,2,3'!O44</f>
        <v>0</v>
      </c>
      <c r="F22" s="485">
        <f>'Звіт 1,2,3'!I44</f>
        <v>0</v>
      </c>
      <c r="G22" s="485">
        <f>'Звіт 1,2,3'!J44</f>
        <v>0</v>
      </c>
      <c r="H22" s="485">
        <f>'Звіт 1,2,3'!K44</f>
        <v>0</v>
      </c>
      <c r="I22" s="485">
        <f>'Звіт 1,2,3'!L44</f>
        <v>0</v>
      </c>
      <c r="J22" s="485">
        <f>'Звіт 1,2,3'!M44</f>
        <v>24992</v>
      </c>
      <c r="K22" s="477">
        <f>'Звіт 1,2,3'!N44</f>
        <v>7891</v>
      </c>
      <c r="L22" s="479"/>
      <c r="M22" s="479"/>
      <c r="N22" s="479"/>
      <c r="O22" s="4"/>
      <c r="P22" s="115"/>
      <c r="Q22" s="115"/>
      <c r="R22" s="115"/>
      <c r="S22" s="115"/>
      <c r="T22" s="115"/>
      <c r="U22" s="115"/>
      <c r="V22" s="115"/>
      <c r="W22" s="115"/>
      <c r="X22" s="115"/>
      <c r="Y22" s="115"/>
      <c r="Z22" s="89"/>
      <c r="AA22" s="89"/>
      <c r="AB22" s="89"/>
      <c r="AC22" s="89"/>
      <c r="AD22" s="89"/>
      <c r="AE22" s="89"/>
      <c r="AF22" s="89"/>
      <c r="AG22" s="89"/>
      <c r="AH22" s="89"/>
      <c r="AI22" s="89"/>
      <c r="AJ22" s="89"/>
      <c r="AK22" s="89"/>
      <c r="AL22" s="89"/>
      <c r="AM22" s="89"/>
      <c r="AN22" s="89"/>
      <c r="AO22" s="89"/>
      <c r="AP22" s="89"/>
      <c r="AQ22" s="89"/>
    </row>
    <row r="23" spans="1:50" ht="30.6" customHeight="1" x14ac:dyDescent="0.25">
      <c r="A23" s="547" t="s">
        <v>1445</v>
      </c>
      <c r="B23" s="485">
        <f>'Звіт 1,2,3'!F45</f>
        <v>0</v>
      </c>
      <c r="C23" s="485">
        <f>'Звіт 1,2,3'!G45</f>
        <v>0</v>
      </c>
      <c r="D23" s="485">
        <f>'Звіт 1,2,3'!H45</f>
        <v>0</v>
      </c>
      <c r="E23" s="485">
        <f>'Звіт 1,2,3'!O45</f>
        <v>0</v>
      </c>
      <c r="F23" s="485">
        <f>'Звіт 1,2,3'!I45</f>
        <v>0</v>
      </c>
      <c r="G23" s="485">
        <f>'Звіт 1,2,3'!J45</f>
        <v>0</v>
      </c>
      <c r="H23" s="485">
        <f>'Звіт 1,2,3'!K45</f>
        <v>0</v>
      </c>
      <c r="I23" s="485">
        <f>'Звіт 1,2,3'!L45</f>
        <v>0</v>
      </c>
      <c r="J23" s="485">
        <f>'Звіт 1,2,3'!M45</f>
        <v>0</v>
      </c>
      <c r="K23" s="477">
        <f>'Звіт 1,2,3'!N45</f>
        <v>0</v>
      </c>
      <c r="L23" s="479"/>
      <c r="M23" s="479"/>
      <c r="N23" s="479"/>
      <c r="O23" s="4"/>
      <c r="P23" s="115"/>
      <c r="Q23" s="115"/>
      <c r="R23" s="115"/>
      <c r="S23" s="115"/>
      <c r="T23" s="115"/>
      <c r="U23" s="115"/>
      <c r="V23" s="115"/>
      <c r="W23" s="115"/>
      <c r="X23" s="115"/>
      <c r="Y23" s="115"/>
      <c r="Z23" s="89"/>
      <c r="AA23" s="89"/>
      <c r="AB23" s="89"/>
      <c r="AC23" s="89"/>
      <c r="AD23" s="89"/>
      <c r="AE23" s="89"/>
      <c r="AF23" s="89"/>
      <c r="AG23" s="89"/>
      <c r="AH23" s="89"/>
      <c r="AI23" s="89"/>
      <c r="AJ23" s="89"/>
      <c r="AK23" s="89"/>
      <c r="AL23" s="89"/>
      <c r="AM23" s="89"/>
      <c r="AN23" s="89"/>
      <c r="AO23" s="89"/>
      <c r="AP23" s="89"/>
      <c r="AQ23" s="89"/>
    </row>
    <row r="24" spans="1:50" ht="30.6" customHeight="1" x14ac:dyDescent="0.25">
      <c r="A24" s="547" t="s">
        <v>1446</v>
      </c>
      <c r="B24" s="485">
        <f>'Звіт 1,2,3'!F46</f>
        <v>0</v>
      </c>
      <c r="C24" s="485">
        <f>'Звіт 1,2,3'!G46</f>
        <v>0</v>
      </c>
      <c r="D24" s="485">
        <f>'Звіт 1,2,3'!H46</f>
        <v>0</v>
      </c>
      <c r="E24" s="485">
        <f>'Звіт 1,2,3'!O46</f>
        <v>0</v>
      </c>
      <c r="F24" s="485">
        <f>'Звіт 1,2,3'!I46</f>
        <v>0</v>
      </c>
      <c r="G24" s="485">
        <f>'Звіт 1,2,3'!J46</f>
        <v>0</v>
      </c>
      <c r="H24" s="485">
        <f>'Звіт 1,2,3'!K46</f>
        <v>0</v>
      </c>
      <c r="I24" s="485">
        <f>'Звіт 1,2,3'!L46</f>
        <v>0</v>
      </c>
      <c r="J24" s="485">
        <f>'Звіт 1,2,3'!M46</f>
        <v>0</v>
      </c>
      <c r="K24" s="477">
        <f>'Звіт 1,2,3'!N46</f>
        <v>0</v>
      </c>
      <c r="L24" s="479"/>
      <c r="M24" s="479"/>
      <c r="N24" s="479"/>
      <c r="O24" s="4"/>
      <c r="P24" s="115"/>
      <c r="Q24" s="115"/>
      <c r="R24" s="115"/>
      <c r="S24" s="115"/>
      <c r="T24" s="115"/>
      <c r="U24" s="115"/>
      <c r="V24" s="115"/>
      <c r="W24" s="115"/>
      <c r="X24" s="115"/>
      <c r="Y24" s="115"/>
      <c r="Z24" s="89"/>
      <c r="AA24" s="89"/>
      <c r="AB24" s="89"/>
      <c r="AC24" s="89"/>
      <c r="AD24" s="89"/>
      <c r="AE24" s="89"/>
      <c r="AF24" s="89"/>
      <c r="AG24" s="89"/>
      <c r="AH24" s="89"/>
      <c r="AI24" s="89"/>
      <c r="AJ24" s="89"/>
      <c r="AK24" s="89"/>
      <c r="AL24" s="89"/>
      <c r="AM24" s="89"/>
      <c r="AN24" s="89"/>
      <c r="AO24" s="89"/>
      <c r="AP24" s="89"/>
      <c r="AQ24" s="89"/>
    </row>
    <row r="25" spans="1:50" ht="30.6" customHeight="1" x14ac:dyDescent="0.25">
      <c r="A25" s="547" t="s">
        <v>1447</v>
      </c>
      <c r="B25" s="485">
        <f>'Звіт 1,2,3'!F47</f>
        <v>0</v>
      </c>
      <c r="C25" s="485">
        <f>'Звіт 1,2,3'!G47</f>
        <v>22682</v>
      </c>
      <c r="D25" s="485">
        <f>'Звіт 1,2,3'!H47</f>
        <v>6239</v>
      </c>
      <c r="E25" s="485">
        <f>'Звіт 1,2,3'!O47</f>
        <v>0</v>
      </c>
      <c r="F25" s="485">
        <f>'Звіт 1,2,3'!I47</f>
        <v>0</v>
      </c>
      <c r="G25" s="485">
        <f>'Звіт 1,2,3'!J47</f>
        <v>0</v>
      </c>
      <c r="H25" s="485">
        <f>'Звіт 1,2,3'!K47</f>
        <v>0</v>
      </c>
      <c r="I25" s="485">
        <f>'Звіт 1,2,3'!L47</f>
        <v>95</v>
      </c>
      <c r="J25" s="485">
        <f>'Звіт 1,2,3'!M47</f>
        <v>0</v>
      </c>
      <c r="K25" s="477">
        <f>'Звіт 1,2,3'!N47</f>
        <v>16348</v>
      </c>
      <c r="L25" s="479"/>
      <c r="M25" s="479"/>
      <c r="N25" s="479"/>
      <c r="O25" s="4"/>
      <c r="P25" s="115"/>
      <c r="Q25" s="115"/>
      <c r="R25" s="115"/>
      <c r="S25" s="115"/>
      <c r="T25" s="115"/>
      <c r="U25" s="115"/>
      <c r="V25" s="115"/>
      <c r="W25" s="115"/>
      <c r="X25" s="115"/>
      <c r="Y25" s="115"/>
      <c r="Z25" s="89"/>
      <c r="AA25" s="89"/>
      <c r="AB25" s="89"/>
      <c r="AC25" s="89"/>
      <c r="AD25" s="89"/>
      <c r="AE25" s="89"/>
      <c r="AF25" s="89"/>
      <c r="AG25" s="89"/>
      <c r="AH25" s="89"/>
      <c r="AI25" s="89"/>
      <c r="AJ25" s="89"/>
      <c r="AK25" s="89"/>
      <c r="AL25" s="89"/>
      <c r="AM25" s="89"/>
      <c r="AN25" s="89"/>
      <c r="AO25" s="89"/>
      <c r="AP25" s="89"/>
      <c r="AQ25" s="89"/>
    </row>
    <row r="26" spans="1:50" ht="30.6" customHeight="1" x14ac:dyDescent="0.25">
      <c r="A26" s="547" t="s">
        <v>1448</v>
      </c>
      <c r="B26" s="485">
        <f>'Звіт 1,2,3'!F48</f>
        <v>0</v>
      </c>
      <c r="C26" s="485">
        <f>'Звіт 1,2,3'!G48</f>
        <v>0</v>
      </c>
      <c r="D26" s="485">
        <f>'Звіт 1,2,3'!H48</f>
        <v>0</v>
      </c>
      <c r="E26" s="485">
        <f>'Звіт 1,2,3'!O48</f>
        <v>0</v>
      </c>
      <c r="F26" s="485">
        <f>'Звіт 1,2,3'!I48</f>
        <v>0</v>
      </c>
      <c r="G26" s="485" t="str">
        <f>'Звіт 1,2,3'!J48</f>
        <v>-</v>
      </c>
      <c r="H26" s="485">
        <f>'Звіт 1,2,3'!K48</f>
        <v>0</v>
      </c>
      <c r="I26" s="485" t="str">
        <f>'Звіт 1,2,3'!L48</f>
        <v>-</v>
      </c>
      <c r="J26" s="485">
        <f>'Звіт 1,2,3'!M48</f>
        <v>0</v>
      </c>
      <c r="K26" s="477" t="str">
        <f>'Звіт 1,2,3'!N48</f>
        <v>-</v>
      </c>
      <c r="L26" s="479"/>
      <c r="M26" s="479"/>
      <c r="N26" s="479"/>
      <c r="O26" s="4"/>
      <c r="P26" s="115"/>
      <c r="Q26" s="115"/>
      <c r="R26" s="115"/>
      <c r="S26" s="115"/>
      <c r="T26" s="115"/>
      <c r="U26" s="115"/>
      <c r="V26" s="115"/>
      <c r="W26" s="115"/>
      <c r="X26" s="115"/>
      <c r="Y26" s="115"/>
      <c r="Z26" s="89"/>
      <c r="AA26" s="89"/>
      <c r="AB26" s="89"/>
      <c r="AC26" s="89"/>
      <c r="AD26" s="89"/>
      <c r="AE26" s="89"/>
      <c r="AF26" s="89"/>
      <c r="AG26" s="89"/>
      <c r="AH26" s="89"/>
      <c r="AI26" s="89"/>
      <c r="AJ26" s="89"/>
      <c r="AK26" s="89"/>
      <c r="AL26" s="89"/>
      <c r="AM26" s="89"/>
      <c r="AN26" s="89"/>
      <c r="AO26" s="89"/>
      <c r="AP26" s="89"/>
      <c r="AQ26" s="89"/>
    </row>
    <row r="27" spans="1:50" ht="30.6" customHeight="1" x14ac:dyDescent="0.25">
      <c r="A27" s="547" t="s">
        <v>1449</v>
      </c>
      <c r="B27" s="485">
        <f>'Звіт 1,2,3'!F49</f>
        <v>0</v>
      </c>
      <c r="C27" s="485">
        <f>'Звіт 1,2,3'!G49</f>
        <v>0</v>
      </c>
      <c r="D27" s="485" t="str">
        <f>'Звіт 1,2,3'!H49</f>
        <v>-</v>
      </c>
      <c r="E27" s="485">
        <f>'Звіт 1,2,3'!O49</f>
        <v>0</v>
      </c>
      <c r="F27" s="485" t="str">
        <f>'Звіт 1,2,3'!I49</f>
        <v>-</v>
      </c>
      <c r="G27" s="485" t="str">
        <f>'Звіт 1,2,3'!J49</f>
        <v>-</v>
      </c>
      <c r="H27" s="485" t="str">
        <f>'Звіт 1,2,3'!K49</f>
        <v>-</v>
      </c>
      <c r="I27" s="485" t="str">
        <f>'Звіт 1,2,3'!L49</f>
        <v>-</v>
      </c>
      <c r="J27" s="485" t="str">
        <f>'Звіт 1,2,3'!M49</f>
        <v>-</v>
      </c>
      <c r="K27" s="477" t="str">
        <f>'Звіт 1,2,3'!N49</f>
        <v>-</v>
      </c>
      <c r="L27" s="479"/>
      <c r="M27" s="479"/>
      <c r="N27" s="479"/>
      <c r="O27" s="4"/>
      <c r="P27" s="115"/>
      <c r="Q27" s="115"/>
      <c r="R27" s="115"/>
      <c r="S27" s="115"/>
      <c r="T27" s="115"/>
      <c r="U27" s="115"/>
      <c r="V27" s="115"/>
      <c r="W27" s="115"/>
      <c r="X27" s="115"/>
      <c r="Y27" s="115"/>
      <c r="Z27" s="89"/>
      <c r="AA27" s="89"/>
      <c r="AB27" s="89"/>
      <c r="AC27" s="89"/>
      <c r="AD27" s="89"/>
      <c r="AE27" s="89"/>
      <c r="AF27" s="89"/>
      <c r="AG27" s="89"/>
      <c r="AH27" s="89"/>
      <c r="AI27" s="89"/>
      <c r="AJ27" s="89"/>
      <c r="AK27" s="89"/>
      <c r="AL27" s="89"/>
      <c r="AM27" s="89"/>
      <c r="AN27" s="89"/>
      <c r="AO27" s="89"/>
      <c r="AP27" s="89"/>
      <c r="AQ27" s="89"/>
    </row>
    <row r="28" spans="1:50" s="84" customFormat="1" ht="40.35" customHeight="1" x14ac:dyDescent="0.25">
      <c r="A28" s="546" t="s">
        <v>1039</v>
      </c>
      <c r="B28" s="485">
        <f>'Звіт 1,2,3'!F70</f>
        <v>0</v>
      </c>
      <c r="C28" s="485">
        <f>'Звіт 1,2,3'!G70</f>
        <v>27308</v>
      </c>
      <c r="D28" s="485">
        <f>'Звіт 1,2,3'!H70</f>
        <v>27308</v>
      </c>
      <c r="E28" s="485">
        <f>'Звіт 1,2,3'!O70</f>
        <v>0</v>
      </c>
      <c r="F28" s="485">
        <f>'Звіт 1,2,3'!I70</f>
        <v>0</v>
      </c>
      <c r="G28" s="485">
        <f>'Звіт 1,2,3'!J70</f>
        <v>0</v>
      </c>
      <c r="H28" s="485">
        <f>'Звіт 1,2,3'!K70</f>
        <v>0</v>
      </c>
      <c r="I28" s="485">
        <f>'Звіт 1,2,3'!L70</f>
        <v>0</v>
      </c>
      <c r="J28" s="485">
        <f>'Звіт 1,2,3'!M70</f>
        <v>0</v>
      </c>
      <c r="K28" s="477">
        <f>'Звіт 1,2,3'!N70</f>
        <v>0</v>
      </c>
      <c r="L28" s="479"/>
      <c r="M28" s="479"/>
      <c r="N28" s="479"/>
      <c r="O28" s="89"/>
      <c r="P28" s="115"/>
      <c r="Q28" s="115"/>
      <c r="R28" s="115"/>
      <c r="S28" s="115"/>
      <c r="T28" s="115"/>
      <c r="U28" s="115"/>
      <c r="V28" s="115"/>
      <c r="W28" s="115"/>
      <c r="X28" s="115"/>
      <c r="Y28" s="115"/>
      <c r="Z28" s="89"/>
      <c r="AA28" s="89"/>
      <c r="AB28" s="89"/>
      <c r="AC28" s="89"/>
      <c r="AD28" s="89"/>
      <c r="AE28" s="89"/>
      <c r="AF28" s="89"/>
      <c r="AG28" s="89"/>
      <c r="AH28" s="89"/>
      <c r="AI28" s="89"/>
      <c r="AJ28" s="89"/>
      <c r="AK28" s="89"/>
      <c r="AL28" s="89"/>
      <c r="AM28" s="89"/>
      <c r="AN28" s="89"/>
      <c r="AO28" s="89"/>
      <c r="AP28" s="89"/>
      <c r="AQ28" s="89"/>
    </row>
    <row r="29" spans="1:50" s="84" customFormat="1" ht="40.35" customHeight="1" x14ac:dyDescent="0.25">
      <c r="A29" s="548" t="s">
        <v>1040</v>
      </c>
      <c r="B29" s="485">
        <f>'Звіт 1,2,3'!F71</f>
        <v>0</v>
      </c>
      <c r="C29" s="485">
        <f>'Звіт 1,2,3'!G71</f>
        <v>0</v>
      </c>
      <c r="D29" s="485">
        <f>'Звіт 1,2,3'!H71</f>
        <v>0</v>
      </c>
      <c r="E29" s="485">
        <f>'Звіт 1,2,3'!O71</f>
        <v>0</v>
      </c>
      <c r="F29" s="485">
        <f>'Звіт 1,2,3'!I71</f>
        <v>0</v>
      </c>
      <c r="G29" s="485">
        <f>'Звіт 1,2,3'!J71</f>
        <v>0</v>
      </c>
      <c r="H29" s="485">
        <f>'Звіт 1,2,3'!K71</f>
        <v>0</v>
      </c>
      <c r="I29" s="485">
        <f>'Звіт 1,2,3'!L71</f>
        <v>0</v>
      </c>
      <c r="J29" s="485">
        <f>'Звіт 1,2,3'!M71</f>
        <v>0</v>
      </c>
      <c r="K29" s="477">
        <f>'Звіт 1,2,3'!N71</f>
        <v>0</v>
      </c>
      <c r="L29" s="479"/>
      <c r="M29" s="479"/>
      <c r="N29" s="479"/>
      <c r="O29" s="89"/>
      <c r="P29" s="115"/>
      <c r="Q29" s="115"/>
      <c r="R29" s="115"/>
      <c r="S29" s="115"/>
      <c r="T29" s="115"/>
      <c r="U29" s="115"/>
      <c r="V29" s="115"/>
      <c r="W29" s="115"/>
      <c r="X29" s="115"/>
      <c r="Y29" s="115"/>
      <c r="Z29" s="89"/>
      <c r="AA29" s="89"/>
      <c r="AB29" s="89"/>
      <c r="AC29" s="89"/>
      <c r="AD29" s="89"/>
      <c r="AE29" s="89"/>
      <c r="AF29" s="89"/>
      <c r="AG29" s="89"/>
      <c r="AH29" s="89"/>
      <c r="AI29" s="89"/>
      <c r="AJ29" s="89"/>
      <c r="AK29" s="89"/>
      <c r="AL29" s="89"/>
      <c r="AM29" s="89"/>
      <c r="AN29" s="89"/>
      <c r="AO29" s="89"/>
      <c r="AP29" s="89"/>
      <c r="AQ29" s="89"/>
    </row>
    <row r="30" spans="1:50" s="84" customFormat="1" ht="34.35" customHeight="1" x14ac:dyDescent="0.25">
      <c r="A30" s="549" t="s">
        <v>1041</v>
      </c>
      <c r="B30" s="485">
        <f>'Звіт 1,2,3'!F72</f>
        <v>0</v>
      </c>
      <c r="C30" s="485">
        <f>'Звіт 1,2,3'!G72</f>
        <v>0</v>
      </c>
      <c r="D30" s="485">
        <f>'Звіт 1,2,3'!H72</f>
        <v>0</v>
      </c>
      <c r="E30" s="485">
        <f>'Звіт 1,2,3'!O72</f>
        <v>0</v>
      </c>
      <c r="F30" s="485">
        <f>'Звіт 1,2,3'!I72</f>
        <v>0</v>
      </c>
      <c r="G30" s="485">
        <f>'Звіт 1,2,3'!J72</f>
        <v>0</v>
      </c>
      <c r="H30" s="485">
        <f>'Звіт 1,2,3'!K72</f>
        <v>0</v>
      </c>
      <c r="I30" s="485">
        <f>'Звіт 1,2,3'!L72</f>
        <v>0</v>
      </c>
      <c r="J30" s="485">
        <f>'Звіт 1,2,3'!M72</f>
        <v>0</v>
      </c>
      <c r="K30" s="477">
        <f>'Звіт 1,2,3'!N72</f>
        <v>0</v>
      </c>
      <c r="L30" s="479"/>
      <c r="M30" s="479"/>
      <c r="N30" s="479"/>
      <c r="O30" s="89"/>
      <c r="P30" s="115"/>
      <c r="Q30" s="115"/>
      <c r="R30" s="115"/>
      <c r="S30" s="115"/>
      <c r="T30" s="115"/>
      <c r="U30" s="115"/>
      <c r="V30" s="115"/>
      <c r="W30" s="115"/>
      <c r="X30" s="115"/>
      <c r="Y30" s="115"/>
      <c r="Z30" s="89"/>
      <c r="AA30" s="89"/>
      <c r="AB30" s="89"/>
      <c r="AC30" s="89"/>
      <c r="AD30" s="89"/>
      <c r="AE30" s="89"/>
      <c r="AF30" s="89"/>
      <c r="AG30" s="89"/>
      <c r="AH30" s="89"/>
      <c r="AI30" s="89"/>
      <c r="AJ30" s="89"/>
      <c r="AK30" s="89"/>
      <c r="AL30" s="89"/>
      <c r="AM30" s="89"/>
      <c r="AN30" s="89"/>
      <c r="AO30" s="89"/>
      <c r="AP30" s="89"/>
      <c r="AQ30" s="89"/>
    </row>
    <row r="31" spans="1:50" s="84" customFormat="1" ht="42.75" customHeight="1" x14ac:dyDescent="0.25">
      <c r="A31" s="549" t="s">
        <v>1042</v>
      </c>
      <c r="B31" s="485">
        <f>'Звіт 1,2,3'!F73</f>
        <v>0</v>
      </c>
      <c r="C31" s="485">
        <f>'Звіт 1,2,3'!G73</f>
        <v>0</v>
      </c>
      <c r="D31" s="485">
        <f>'Звіт 1,2,3'!H73</f>
        <v>0</v>
      </c>
      <c r="E31" s="485">
        <f>'Звіт 1,2,3'!O73</f>
        <v>0</v>
      </c>
      <c r="F31" s="485">
        <f>'Звіт 1,2,3'!I73</f>
        <v>0</v>
      </c>
      <c r="G31" s="485">
        <f>'Звіт 1,2,3'!J73</f>
        <v>0</v>
      </c>
      <c r="H31" s="485">
        <f>'Звіт 1,2,3'!K73</f>
        <v>0</v>
      </c>
      <c r="I31" s="485">
        <f>'Звіт 1,2,3'!L73</f>
        <v>0</v>
      </c>
      <c r="J31" s="485">
        <f>'Звіт 1,2,3'!M73</f>
        <v>0</v>
      </c>
      <c r="K31" s="477">
        <f>'Звіт 1,2,3'!N73</f>
        <v>0</v>
      </c>
      <c r="L31" s="479"/>
      <c r="M31" s="479"/>
      <c r="N31" s="479"/>
      <c r="O31" s="89"/>
      <c r="P31" s="115"/>
      <c r="Q31" s="115"/>
      <c r="R31" s="115"/>
      <c r="S31" s="115"/>
      <c r="T31" s="115"/>
      <c r="U31" s="115"/>
      <c r="V31" s="115"/>
      <c r="W31" s="115"/>
      <c r="X31" s="115"/>
      <c r="Y31" s="115"/>
      <c r="Z31" s="89"/>
      <c r="AA31" s="89"/>
      <c r="AB31" s="89"/>
      <c r="AC31" s="89"/>
      <c r="AD31" s="89"/>
      <c r="AE31" s="89"/>
      <c r="AF31" s="89"/>
      <c r="AG31" s="89"/>
      <c r="AH31" s="89"/>
      <c r="AI31" s="89"/>
      <c r="AJ31" s="89"/>
      <c r="AK31" s="89"/>
      <c r="AL31" s="89"/>
      <c r="AM31" s="89"/>
      <c r="AN31" s="89"/>
      <c r="AO31" s="89"/>
      <c r="AP31" s="89"/>
      <c r="AQ31" s="89"/>
    </row>
    <row r="32" spans="1:50" s="84" customFormat="1" ht="34.35" customHeight="1" x14ac:dyDescent="0.25">
      <c r="A32" s="549" t="s">
        <v>1043</v>
      </c>
      <c r="B32" s="485">
        <f>'Звіт 1,2,3'!F74</f>
        <v>0</v>
      </c>
      <c r="C32" s="485">
        <f>'Звіт 1,2,3'!G74</f>
        <v>0</v>
      </c>
      <c r="D32" s="485">
        <f>'Звіт 1,2,3'!H74</f>
        <v>0</v>
      </c>
      <c r="E32" s="485">
        <f>'Звіт 1,2,3'!O74</f>
        <v>0</v>
      </c>
      <c r="F32" s="485">
        <f>'Звіт 1,2,3'!I74</f>
        <v>0</v>
      </c>
      <c r="G32" s="485">
        <f>'Звіт 1,2,3'!J74</f>
        <v>0</v>
      </c>
      <c r="H32" s="485">
        <f>'Звіт 1,2,3'!K74</f>
        <v>0</v>
      </c>
      <c r="I32" s="485">
        <f>'Звіт 1,2,3'!L74</f>
        <v>0</v>
      </c>
      <c r="J32" s="485">
        <f>'Звіт 1,2,3'!M74</f>
        <v>0</v>
      </c>
      <c r="K32" s="477">
        <f>'Звіт 1,2,3'!N74</f>
        <v>0</v>
      </c>
      <c r="L32" s="479"/>
      <c r="M32" s="479"/>
      <c r="N32" s="479"/>
      <c r="O32" s="89"/>
      <c r="P32" s="115"/>
      <c r="Q32" s="115"/>
      <c r="R32" s="115"/>
      <c r="S32" s="115"/>
      <c r="T32" s="115"/>
      <c r="U32" s="115"/>
      <c r="V32" s="115"/>
      <c r="W32" s="115"/>
      <c r="X32" s="115"/>
      <c r="Y32" s="115"/>
      <c r="Z32" s="89"/>
      <c r="AA32" s="89"/>
      <c r="AB32" s="89"/>
      <c r="AC32" s="89"/>
      <c r="AD32" s="89"/>
      <c r="AE32" s="89"/>
      <c r="AF32" s="89"/>
      <c r="AG32" s="89"/>
      <c r="AH32" s="89"/>
      <c r="AI32" s="89"/>
      <c r="AJ32" s="89"/>
      <c r="AK32" s="89"/>
      <c r="AL32" s="89"/>
      <c r="AM32" s="89"/>
      <c r="AN32" s="89"/>
      <c r="AO32" s="89"/>
      <c r="AP32" s="89"/>
      <c r="AQ32" s="89"/>
    </row>
    <row r="33" spans="1:43" s="84" customFormat="1" ht="36" customHeight="1" x14ac:dyDescent="0.25">
      <c r="A33" s="548" t="s">
        <v>1044</v>
      </c>
      <c r="B33" s="485">
        <f>'Звіт 1,2,3'!F75</f>
        <v>0</v>
      </c>
      <c r="C33" s="485">
        <f>'Звіт 1,2,3'!G75</f>
        <v>27308</v>
      </c>
      <c r="D33" s="485">
        <f>'Звіт 1,2,3'!H75</f>
        <v>27308</v>
      </c>
      <c r="E33" s="485">
        <f>'Звіт 1,2,3'!O75</f>
        <v>0</v>
      </c>
      <c r="F33" s="485">
        <f>'Звіт 1,2,3'!I75</f>
        <v>0</v>
      </c>
      <c r="G33" s="485">
        <f>'Звіт 1,2,3'!J75</f>
        <v>0</v>
      </c>
      <c r="H33" s="485">
        <f>'Звіт 1,2,3'!K75</f>
        <v>0</v>
      </c>
      <c r="I33" s="485">
        <f>'Звіт 1,2,3'!L75</f>
        <v>0</v>
      </c>
      <c r="J33" s="485">
        <f>'Звіт 1,2,3'!M75</f>
        <v>0</v>
      </c>
      <c r="K33" s="477">
        <f>'Звіт 1,2,3'!N75</f>
        <v>0</v>
      </c>
      <c r="L33" s="479"/>
      <c r="M33" s="479"/>
      <c r="N33" s="479"/>
      <c r="O33" s="89"/>
      <c r="P33" s="115"/>
      <c r="Q33" s="115"/>
      <c r="R33" s="115"/>
      <c r="S33" s="115"/>
      <c r="T33" s="115"/>
      <c r="U33" s="115"/>
      <c r="V33" s="115"/>
      <c r="W33" s="115"/>
      <c r="X33" s="115"/>
      <c r="Y33" s="115"/>
      <c r="Z33" s="89"/>
      <c r="AA33" s="89"/>
      <c r="AB33" s="89"/>
      <c r="AC33" s="89"/>
      <c r="AD33" s="89"/>
      <c r="AE33" s="89"/>
      <c r="AF33" s="89"/>
      <c r="AG33" s="89"/>
      <c r="AH33" s="89"/>
      <c r="AI33" s="89"/>
      <c r="AJ33" s="89"/>
      <c r="AK33" s="89"/>
      <c r="AL33" s="89"/>
      <c r="AM33" s="89"/>
      <c r="AN33" s="89"/>
      <c r="AO33" s="89"/>
      <c r="AP33" s="89"/>
      <c r="AQ33" s="89"/>
    </row>
    <row r="34" spans="1:43" s="84" customFormat="1" ht="33" customHeight="1" x14ac:dyDescent="0.25">
      <c r="A34" s="549" t="s">
        <v>1045</v>
      </c>
      <c r="B34" s="485">
        <f>'Звіт 1,2,3'!F76</f>
        <v>0</v>
      </c>
      <c r="C34" s="485">
        <f>'Звіт 1,2,3'!G76</f>
        <v>27308</v>
      </c>
      <c r="D34" s="485">
        <f>'Звіт 1,2,3'!H76</f>
        <v>27308</v>
      </c>
      <c r="E34" s="485">
        <f>'Звіт 1,2,3'!O76</f>
        <v>0</v>
      </c>
      <c r="F34" s="485">
        <f>'Звіт 1,2,3'!I76</f>
        <v>0</v>
      </c>
      <c r="G34" s="485">
        <f>'Звіт 1,2,3'!J76</f>
        <v>0</v>
      </c>
      <c r="H34" s="485">
        <f>'Звіт 1,2,3'!K76</f>
        <v>0</v>
      </c>
      <c r="I34" s="485">
        <f>'Звіт 1,2,3'!L76</f>
        <v>0</v>
      </c>
      <c r="J34" s="485">
        <f>'Звіт 1,2,3'!M76</f>
        <v>0</v>
      </c>
      <c r="K34" s="477">
        <f>'Звіт 1,2,3'!N76</f>
        <v>0</v>
      </c>
      <c r="L34" s="479"/>
      <c r="M34" s="479"/>
      <c r="N34" s="479"/>
      <c r="O34" s="89"/>
      <c r="P34" s="115"/>
      <c r="Q34" s="115"/>
      <c r="R34" s="115"/>
      <c r="S34" s="115"/>
      <c r="T34" s="115"/>
      <c r="U34" s="115"/>
      <c r="V34" s="115"/>
      <c r="W34" s="115"/>
      <c r="X34" s="115"/>
      <c r="Y34" s="115"/>
      <c r="Z34" s="89"/>
      <c r="AA34" s="89"/>
      <c r="AB34" s="89"/>
      <c r="AC34" s="89"/>
      <c r="AD34" s="89"/>
      <c r="AE34" s="89"/>
      <c r="AF34" s="89"/>
      <c r="AG34" s="89"/>
      <c r="AH34" s="89"/>
      <c r="AI34" s="89"/>
      <c r="AJ34" s="89"/>
      <c r="AK34" s="89"/>
      <c r="AL34" s="89"/>
      <c r="AM34" s="89"/>
      <c r="AN34" s="89"/>
      <c r="AO34" s="89"/>
      <c r="AP34" s="89"/>
      <c r="AQ34" s="89"/>
    </row>
    <row r="35" spans="1:43" s="84" customFormat="1" ht="33" customHeight="1" x14ac:dyDescent="0.25">
      <c r="A35" s="549" t="s">
        <v>1046</v>
      </c>
      <c r="B35" s="485">
        <f>'Звіт 1,2,3'!F77</f>
        <v>0</v>
      </c>
      <c r="C35" s="485">
        <f>'Звіт 1,2,3'!G77</f>
        <v>0</v>
      </c>
      <c r="D35" s="485">
        <f>'Звіт 1,2,3'!H77</f>
        <v>0</v>
      </c>
      <c r="E35" s="485">
        <f>'Звіт 1,2,3'!O77</f>
        <v>0</v>
      </c>
      <c r="F35" s="485">
        <f>'Звіт 1,2,3'!I77</f>
        <v>0</v>
      </c>
      <c r="G35" s="485">
        <f>'Звіт 1,2,3'!J77</f>
        <v>0</v>
      </c>
      <c r="H35" s="485">
        <f>'Звіт 1,2,3'!K77</f>
        <v>0</v>
      </c>
      <c r="I35" s="485">
        <f>'Звіт 1,2,3'!L77</f>
        <v>0</v>
      </c>
      <c r="J35" s="485">
        <f>'Звіт 1,2,3'!M77</f>
        <v>0</v>
      </c>
      <c r="K35" s="477">
        <f>'Звіт 1,2,3'!N77</f>
        <v>0</v>
      </c>
      <c r="L35" s="479"/>
      <c r="M35" s="479"/>
      <c r="N35" s="479"/>
      <c r="O35" s="89"/>
      <c r="P35" s="115"/>
      <c r="Q35" s="115"/>
      <c r="R35" s="115"/>
      <c r="S35" s="115"/>
      <c r="T35" s="115"/>
      <c r="U35" s="115"/>
      <c r="V35" s="115"/>
      <c r="W35" s="115"/>
      <c r="X35" s="115"/>
      <c r="Y35" s="115"/>
      <c r="Z35" s="89"/>
      <c r="AA35" s="89"/>
      <c r="AB35" s="89"/>
      <c r="AC35" s="89"/>
      <c r="AD35" s="89"/>
      <c r="AE35" s="89"/>
      <c r="AF35" s="89"/>
      <c r="AG35" s="89"/>
      <c r="AH35" s="89"/>
      <c r="AI35" s="89"/>
      <c r="AJ35" s="89"/>
      <c r="AK35" s="89"/>
      <c r="AL35" s="89"/>
      <c r="AM35" s="89"/>
      <c r="AN35" s="89"/>
      <c r="AO35" s="89"/>
      <c r="AP35" s="89"/>
      <c r="AQ35" s="89"/>
    </row>
    <row r="36" spans="1:43" s="84" customFormat="1" ht="33" customHeight="1" x14ac:dyDescent="0.25">
      <c r="A36" s="549" t="s">
        <v>1047</v>
      </c>
      <c r="B36" s="485">
        <f>'Звіт 1,2,3'!F78</f>
        <v>0</v>
      </c>
      <c r="C36" s="485">
        <f>'Звіт 1,2,3'!G78</f>
        <v>0</v>
      </c>
      <c r="D36" s="485">
        <f>'Звіт 1,2,3'!H78</f>
        <v>0</v>
      </c>
      <c r="E36" s="485">
        <f>'Звіт 1,2,3'!O78</f>
        <v>0</v>
      </c>
      <c r="F36" s="485">
        <f>'Звіт 1,2,3'!I78</f>
        <v>0</v>
      </c>
      <c r="G36" s="485">
        <f>'Звіт 1,2,3'!J78</f>
        <v>0</v>
      </c>
      <c r="H36" s="485">
        <f>'Звіт 1,2,3'!K78</f>
        <v>0</v>
      </c>
      <c r="I36" s="485">
        <f>'Звіт 1,2,3'!L78</f>
        <v>0</v>
      </c>
      <c r="J36" s="485">
        <f>'Звіт 1,2,3'!M78</f>
        <v>0</v>
      </c>
      <c r="K36" s="477">
        <f>'Звіт 1,2,3'!N78</f>
        <v>0</v>
      </c>
      <c r="L36" s="479"/>
      <c r="M36" s="479"/>
      <c r="N36" s="479"/>
      <c r="O36" s="89"/>
      <c r="P36" s="115"/>
      <c r="Q36" s="115"/>
      <c r="R36" s="115"/>
      <c r="S36" s="115"/>
      <c r="T36" s="115"/>
      <c r="U36" s="115"/>
      <c r="V36" s="115"/>
      <c r="W36" s="115"/>
      <c r="X36" s="115"/>
      <c r="Y36" s="115"/>
      <c r="Z36" s="89"/>
      <c r="AA36" s="89"/>
      <c r="AB36" s="89"/>
      <c r="AC36" s="89"/>
      <c r="AD36" s="89"/>
      <c r="AE36" s="89"/>
      <c r="AF36" s="89"/>
      <c r="AG36" s="89"/>
      <c r="AH36" s="89"/>
      <c r="AI36" s="89"/>
      <c r="AJ36" s="89"/>
      <c r="AK36" s="89"/>
      <c r="AL36" s="89"/>
      <c r="AM36" s="89"/>
      <c r="AN36" s="89"/>
      <c r="AO36" s="89"/>
      <c r="AP36" s="89"/>
      <c r="AQ36" s="89"/>
    </row>
    <row r="37" spans="1:43" s="84" customFormat="1" ht="53.65" customHeight="1" x14ac:dyDescent="0.25">
      <c r="A37" s="548" t="s">
        <v>1048</v>
      </c>
      <c r="B37" s="485">
        <f>'Звіт 1,2,3'!F79</f>
        <v>0</v>
      </c>
      <c r="C37" s="485">
        <f>'Звіт 1,2,3'!G79</f>
        <v>0</v>
      </c>
      <c r="D37" s="485">
        <f>'Звіт 1,2,3'!H79</f>
        <v>0</v>
      </c>
      <c r="E37" s="485">
        <f>'Звіт 1,2,3'!O79</f>
        <v>0</v>
      </c>
      <c r="F37" s="485">
        <f>'Звіт 1,2,3'!I79</f>
        <v>0</v>
      </c>
      <c r="G37" s="485">
        <f>'Звіт 1,2,3'!J79</f>
        <v>0</v>
      </c>
      <c r="H37" s="485">
        <f>'Звіт 1,2,3'!K79</f>
        <v>0</v>
      </c>
      <c r="I37" s="485">
        <f>'Звіт 1,2,3'!L79</f>
        <v>0</v>
      </c>
      <c r="J37" s="485">
        <f>'Звіт 1,2,3'!M79</f>
        <v>0</v>
      </c>
      <c r="K37" s="477">
        <f>'Звіт 1,2,3'!N79</f>
        <v>0</v>
      </c>
      <c r="L37" s="479"/>
      <c r="M37" s="479"/>
      <c r="N37" s="479"/>
      <c r="O37" s="89"/>
      <c r="P37" s="115"/>
      <c r="Q37" s="115"/>
      <c r="R37" s="115"/>
      <c r="S37" s="115"/>
      <c r="T37" s="115"/>
      <c r="U37" s="115"/>
      <c r="V37" s="115"/>
      <c r="W37" s="115"/>
      <c r="X37" s="115"/>
      <c r="Y37" s="115"/>
      <c r="Z37" s="89"/>
      <c r="AA37" s="89"/>
      <c r="AB37" s="89"/>
      <c r="AC37" s="89"/>
      <c r="AD37" s="89"/>
      <c r="AE37" s="89"/>
      <c r="AF37" s="89"/>
      <c r="AG37" s="89"/>
      <c r="AH37" s="89"/>
      <c r="AI37" s="89"/>
      <c r="AJ37" s="89"/>
      <c r="AK37" s="89"/>
      <c r="AL37" s="89"/>
      <c r="AM37" s="89"/>
      <c r="AN37" s="89"/>
      <c r="AO37" s="89"/>
      <c r="AP37" s="89"/>
      <c r="AQ37" s="89"/>
    </row>
    <row r="38" spans="1:43" s="84" customFormat="1" ht="40.35" customHeight="1" x14ac:dyDescent="0.25">
      <c r="A38" s="548" t="s">
        <v>1049</v>
      </c>
      <c r="B38" s="485">
        <f>'Звіт 1,2,3'!F80</f>
        <v>0</v>
      </c>
      <c r="C38" s="485">
        <f>'Звіт 1,2,3'!G80</f>
        <v>0</v>
      </c>
      <c r="D38" s="485">
        <f>'Звіт 1,2,3'!H80</f>
        <v>0</v>
      </c>
      <c r="E38" s="485">
        <f>'Звіт 1,2,3'!O80</f>
        <v>0</v>
      </c>
      <c r="F38" s="485">
        <f>'Звіт 1,2,3'!I80</f>
        <v>0</v>
      </c>
      <c r="G38" s="485">
        <f>'Звіт 1,2,3'!J80</f>
        <v>0</v>
      </c>
      <c r="H38" s="485">
        <f>'Звіт 1,2,3'!K80</f>
        <v>0</v>
      </c>
      <c r="I38" s="485">
        <f>'Звіт 1,2,3'!L80</f>
        <v>0</v>
      </c>
      <c r="J38" s="485">
        <f>'Звіт 1,2,3'!M80</f>
        <v>0</v>
      </c>
      <c r="K38" s="477">
        <f>'Звіт 1,2,3'!N80</f>
        <v>0</v>
      </c>
      <c r="L38" s="479"/>
      <c r="M38" s="479"/>
      <c r="N38" s="479"/>
      <c r="O38" s="89"/>
      <c r="P38" s="115"/>
      <c r="Q38" s="115"/>
      <c r="R38" s="115"/>
      <c r="S38" s="115"/>
      <c r="T38" s="115"/>
      <c r="U38" s="115"/>
      <c r="V38" s="115"/>
      <c r="W38" s="115"/>
      <c r="X38" s="115"/>
      <c r="Y38" s="115"/>
      <c r="Z38" s="89"/>
      <c r="AA38" s="89"/>
      <c r="AB38" s="89"/>
      <c r="AC38" s="89"/>
      <c r="AD38" s="89"/>
      <c r="AE38" s="89"/>
      <c r="AF38" s="89"/>
      <c r="AG38" s="89"/>
      <c r="AH38" s="89"/>
      <c r="AI38" s="89"/>
      <c r="AJ38" s="89"/>
      <c r="AK38" s="89"/>
      <c r="AL38" s="89"/>
      <c r="AM38" s="89"/>
      <c r="AN38" s="89"/>
      <c r="AO38" s="89"/>
      <c r="AP38" s="89"/>
      <c r="AQ38" s="89"/>
    </row>
    <row r="39" spans="1:43" s="84" customFormat="1" ht="46.9" customHeight="1" x14ac:dyDescent="0.25">
      <c r="A39" s="549" t="s">
        <v>1050</v>
      </c>
      <c r="B39" s="485">
        <f>'Звіт 1,2,3'!F81</f>
        <v>0</v>
      </c>
      <c r="C39" s="485">
        <f>'Звіт 1,2,3'!G81</f>
        <v>0</v>
      </c>
      <c r="D39" s="485">
        <f>'Звіт 1,2,3'!H81</f>
        <v>0</v>
      </c>
      <c r="E39" s="485">
        <f>'Звіт 1,2,3'!O81</f>
        <v>0</v>
      </c>
      <c r="F39" s="485">
        <f>'Звіт 1,2,3'!I81</f>
        <v>0</v>
      </c>
      <c r="G39" s="485">
        <f>'Звіт 1,2,3'!J81</f>
        <v>0</v>
      </c>
      <c r="H39" s="485">
        <f>'Звіт 1,2,3'!K81</f>
        <v>0</v>
      </c>
      <c r="I39" s="485">
        <f>'Звіт 1,2,3'!L81</f>
        <v>0</v>
      </c>
      <c r="J39" s="485">
        <f>'Звіт 1,2,3'!M81</f>
        <v>0</v>
      </c>
      <c r="K39" s="477">
        <f>'Звіт 1,2,3'!N81</f>
        <v>0</v>
      </c>
      <c r="L39" s="479"/>
      <c r="M39" s="479"/>
      <c r="N39" s="479"/>
      <c r="O39" s="89"/>
      <c r="P39" s="115"/>
      <c r="Q39" s="115"/>
      <c r="R39" s="115"/>
      <c r="S39" s="115"/>
      <c r="T39" s="115"/>
      <c r="U39" s="115"/>
      <c r="V39" s="115"/>
      <c r="W39" s="115"/>
      <c r="X39" s="115"/>
      <c r="Y39" s="115"/>
      <c r="Z39" s="89"/>
      <c r="AA39" s="89"/>
      <c r="AB39" s="89"/>
      <c r="AC39" s="89"/>
      <c r="AD39" s="89"/>
      <c r="AE39" s="89"/>
      <c r="AF39" s="89"/>
      <c r="AG39" s="89"/>
      <c r="AH39" s="89"/>
      <c r="AI39" s="89"/>
      <c r="AJ39" s="89"/>
      <c r="AK39" s="89"/>
      <c r="AL39" s="89"/>
      <c r="AM39" s="89"/>
      <c r="AN39" s="89"/>
      <c r="AO39" s="89"/>
      <c r="AP39" s="89"/>
      <c r="AQ39" s="89"/>
    </row>
    <row r="40" spans="1:43" s="84" customFormat="1" ht="37.35" customHeight="1" thickBot="1" x14ac:dyDescent="0.3">
      <c r="A40" s="550" t="s">
        <v>1051</v>
      </c>
      <c r="B40" s="486">
        <f>'Звіт 1,2,3'!F82</f>
        <v>0</v>
      </c>
      <c r="C40" s="486">
        <f>'Звіт 1,2,3'!G82</f>
        <v>0</v>
      </c>
      <c r="D40" s="486">
        <f>'Звіт 1,2,3'!H82</f>
        <v>0</v>
      </c>
      <c r="E40" s="486">
        <f>'Звіт 1,2,3'!O82</f>
        <v>0</v>
      </c>
      <c r="F40" s="486">
        <f>'Звіт 1,2,3'!I82</f>
        <v>0</v>
      </c>
      <c r="G40" s="486">
        <f>'Звіт 1,2,3'!J82</f>
        <v>0</v>
      </c>
      <c r="H40" s="486">
        <f>'Звіт 1,2,3'!K82</f>
        <v>0</v>
      </c>
      <c r="I40" s="486">
        <f>'Звіт 1,2,3'!L82</f>
        <v>0</v>
      </c>
      <c r="J40" s="486">
        <f>'Звіт 1,2,3'!M82</f>
        <v>0</v>
      </c>
      <c r="K40" s="487">
        <f>'Звіт 1,2,3'!N82</f>
        <v>0</v>
      </c>
      <c r="L40" s="479"/>
      <c r="M40" s="479"/>
      <c r="N40" s="479"/>
      <c r="O40" s="89"/>
      <c r="P40" s="115"/>
      <c r="Q40" s="115"/>
      <c r="R40" s="115"/>
      <c r="S40" s="115"/>
      <c r="T40" s="115"/>
      <c r="U40" s="115"/>
      <c r="V40" s="115"/>
      <c r="W40" s="115"/>
      <c r="X40" s="115"/>
      <c r="Y40" s="115"/>
      <c r="Z40" s="89"/>
      <c r="AA40" s="89"/>
      <c r="AB40" s="89"/>
      <c r="AC40" s="89"/>
      <c r="AD40" s="89"/>
      <c r="AE40" s="89"/>
      <c r="AF40" s="89"/>
      <c r="AG40" s="89"/>
      <c r="AH40" s="89"/>
      <c r="AI40" s="89"/>
      <c r="AJ40" s="89"/>
      <c r="AK40" s="89"/>
      <c r="AL40" s="89"/>
      <c r="AM40" s="89"/>
      <c r="AN40" s="89"/>
      <c r="AO40" s="89"/>
      <c r="AP40" s="89"/>
      <c r="AQ40" s="89"/>
    </row>
    <row r="41" spans="1:43" s="109" customFormat="1" x14ac:dyDescent="0.25">
      <c r="A41" s="116"/>
      <c r="B41" s="118"/>
      <c r="C41" s="119"/>
      <c r="D41" s="119"/>
      <c r="E41" s="119"/>
      <c r="F41" s="119"/>
      <c r="G41" s="119"/>
      <c r="H41" s="120"/>
      <c r="I41" s="121"/>
      <c r="J41" s="121"/>
      <c r="K41" s="121"/>
      <c r="L41" s="121"/>
      <c r="M41" s="121"/>
      <c r="N41" s="121"/>
      <c r="P41" s="110"/>
      <c r="Q41" s="110"/>
      <c r="R41" s="110"/>
      <c r="S41" s="110"/>
      <c r="T41" s="110"/>
      <c r="U41" s="110"/>
      <c r="V41" s="110"/>
      <c r="W41" s="110"/>
      <c r="X41" s="110"/>
      <c r="Y41" s="110"/>
    </row>
    <row r="42" spans="1:43" s="109" customFormat="1" x14ac:dyDescent="0.25">
      <c r="A42" s="2959"/>
      <c r="B42" s="2959"/>
      <c r="C42" s="2959"/>
      <c r="D42" s="2959"/>
      <c r="E42" s="2959"/>
      <c r="F42" s="2959"/>
      <c r="G42" s="2959"/>
      <c r="H42" s="2959"/>
      <c r="I42" s="2959"/>
      <c r="J42" s="2959"/>
      <c r="K42" s="2959"/>
      <c r="L42" s="2959"/>
      <c r="M42" s="2959"/>
      <c r="N42" s="2959"/>
      <c r="O42" s="2959"/>
      <c r="P42" s="110"/>
      <c r="Q42" s="110"/>
      <c r="R42" s="110"/>
      <c r="S42" s="110"/>
      <c r="T42" s="110"/>
      <c r="U42" s="110"/>
      <c r="V42" s="110"/>
      <c r="W42" s="110"/>
      <c r="X42" s="110"/>
      <c r="Y42" s="110"/>
    </row>
    <row r="43" spans="1:43" s="109" customFormat="1" x14ac:dyDescent="0.25">
      <c r="A43" s="2959"/>
      <c r="B43" s="2959"/>
      <c r="C43" s="2959"/>
      <c r="D43" s="2959"/>
      <c r="E43" s="2959"/>
      <c r="F43" s="2959"/>
      <c r="G43" s="2959"/>
      <c r="H43" s="2959"/>
      <c r="I43" s="2959"/>
      <c r="J43" s="2959"/>
      <c r="K43" s="2959"/>
      <c r="L43" s="2959"/>
      <c r="M43" s="2959"/>
      <c r="N43" s="2959"/>
      <c r="O43" s="2959"/>
      <c r="P43" s="110"/>
      <c r="Q43" s="110"/>
      <c r="R43" s="110"/>
      <c r="S43" s="110"/>
      <c r="T43" s="110"/>
      <c r="U43" s="110"/>
      <c r="V43" s="110"/>
      <c r="W43" s="110"/>
      <c r="X43" s="110"/>
      <c r="Y43" s="110"/>
    </row>
    <row r="44" spans="1:43" s="109" customFormat="1" x14ac:dyDescent="0.25">
      <c r="A44" s="2959"/>
      <c r="B44" s="2959"/>
      <c r="C44" s="2959"/>
      <c r="D44" s="2959"/>
      <c r="E44" s="2959"/>
      <c r="F44" s="2959"/>
      <c r="G44" s="2959"/>
      <c r="H44" s="2959"/>
      <c r="I44" s="2959"/>
      <c r="J44" s="2959"/>
      <c r="K44" s="2959"/>
      <c r="L44" s="2959"/>
      <c r="M44" s="2959"/>
      <c r="N44" s="2959"/>
      <c r="O44" s="2959"/>
      <c r="P44" s="110"/>
      <c r="Q44" s="110"/>
      <c r="R44" s="110"/>
      <c r="S44" s="110"/>
      <c r="T44" s="110"/>
      <c r="U44" s="110"/>
      <c r="V44" s="110"/>
      <c r="W44" s="110"/>
      <c r="X44" s="110"/>
      <c r="Y44" s="110"/>
    </row>
    <row r="45" spans="1:43" s="109" customFormat="1" x14ac:dyDescent="0.25">
      <c r="A45" s="2959"/>
      <c r="B45" s="2959"/>
      <c r="C45" s="2959"/>
      <c r="D45" s="2959"/>
      <c r="E45" s="2959"/>
      <c r="F45" s="2959"/>
      <c r="G45" s="2959"/>
      <c r="H45" s="2959"/>
      <c r="I45" s="2959"/>
      <c r="J45" s="2959"/>
      <c r="K45" s="2959"/>
      <c r="L45" s="2959"/>
      <c r="M45" s="2959"/>
      <c r="N45" s="2959"/>
      <c r="O45" s="2959"/>
      <c r="P45" s="110"/>
      <c r="Q45" s="110"/>
      <c r="R45" s="110"/>
      <c r="S45" s="110"/>
      <c r="T45" s="110"/>
      <c r="U45" s="110"/>
      <c r="V45" s="110"/>
      <c r="W45" s="110"/>
      <c r="X45" s="110"/>
      <c r="Y45" s="110"/>
    </row>
    <row r="46" spans="1:43" s="109" customFormat="1" x14ac:dyDescent="0.25">
      <c r="A46" s="2959"/>
      <c r="B46" s="2959"/>
      <c r="C46" s="2959"/>
      <c r="D46" s="2959"/>
      <c r="E46" s="2959"/>
      <c r="F46" s="2959"/>
      <c r="G46" s="2959"/>
      <c r="H46" s="2959"/>
      <c r="I46" s="2959"/>
      <c r="J46" s="2959"/>
      <c r="K46" s="2959"/>
      <c r="L46" s="2959"/>
      <c r="M46" s="2959"/>
      <c r="N46" s="2959"/>
      <c r="O46" s="2959"/>
      <c r="P46" s="110"/>
      <c r="Q46" s="110"/>
      <c r="R46" s="110"/>
      <c r="S46" s="110"/>
      <c r="T46" s="110"/>
      <c r="U46" s="110"/>
      <c r="V46" s="110"/>
      <c r="W46" s="110"/>
      <c r="X46" s="110"/>
      <c r="Y46" s="110"/>
    </row>
    <row r="47" spans="1:43" s="109" customFormat="1" x14ac:dyDescent="0.25">
      <c r="A47" s="2959"/>
      <c r="B47" s="2959"/>
      <c r="C47" s="2959"/>
      <c r="D47" s="2959"/>
      <c r="E47" s="2959"/>
      <c r="F47" s="2959"/>
      <c r="G47" s="2959"/>
      <c r="H47" s="2959"/>
      <c r="I47" s="2959"/>
      <c r="J47" s="2959"/>
      <c r="K47" s="2959"/>
      <c r="L47" s="2959"/>
      <c r="M47" s="2959"/>
      <c r="N47" s="2959"/>
      <c r="O47" s="2959"/>
      <c r="P47" s="110"/>
      <c r="Q47" s="110"/>
      <c r="R47" s="110"/>
      <c r="S47" s="110"/>
      <c r="T47" s="110"/>
      <c r="U47" s="110"/>
      <c r="V47" s="110"/>
      <c r="W47" s="110"/>
      <c r="X47" s="110"/>
      <c r="Y47" s="110"/>
    </row>
    <row r="48" spans="1:43" s="109" customFormat="1" x14ac:dyDescent="0.25">
      <c r="A48" s="2959"/>
      <c r="B48" s="2959"/>
      <c r="C48" s="2959"/>
      <c r="D48" s="2959"/>
      <c r="E48" s="2959"/>
      <c r="F48" s="2959"/>
      <c r="G48" s="2959"/>
      <c r="H48" s="2959"/>
      <c r="I48" s="2959"/>
      <c r="J48" s="2959"/>
      <c r="K48" s="2959"/>
      <c r="L48" s="2959"/>
      <c r="M48" s="2959"/>
      <c r="N48" s="2959"/>
      <c r="O48" s="2959"/>
      <c r="P48" s="110"/>
      <c r="Q48" s="110"/>
      <c r="R48" s="110"/>
      <c r="S48" s="110"/>
      <c r="T48" s="110"/>
      <c r="U48" s="110"/>
      <c r="V48" s="110"/>
      <c r="W48" s="110"/>
      <c r="X48" s="110"/>
      <c r="Y48" s="110"/>
    </row>
    <row r="49" spans="1:25" s="109" customFormat="1" x14ac:dyDescent="0.25">
      <c r="A49" s="2959"/>
      <c r="B49" s="2959"/>
      <c r="C49" s="2959"/>
      <c r="D49" s="2959"/>
      <c r="E49" s="2959"/>
      <c r="F49" s="2959"/>
      <c r="G49" s="2959"/>
      <c r="H49" s="2959"/>
      <c r="I49" s="2959"/>
      <c r="J49" s="2959"/>
      <c r="K49" s="2959"/>
      <c r="L49" s="2959"/>
      <c r="M49" s="2959"/>
      <c r="N49" s="2959"/>
      <c r="O49" s="2959"/>
      <c r="P49" s="110"/>
      <c r="Q49" s="110"/>
      <c r="R49" s="110"/>
      <c r="S49" s="110"/>
      <c r="T49" s="110"/>
      <c r="U49" s="110"/>
      <c r="V49" s="110"/>
      <c r="W49" s="110"/>
      <c r="X49" s="110"/>
      <c r="Y49" s="110"/>
    </row>
    <row r="50" spans="1:25" s="109" customFormat="1" x14ac:dyDescent="0.25">
      <c r="A50" s="2959"/>
      <c r="B50" s="2959"/>
      <c r="C50" s="2959"/>
      <c r="D50" s="2959"/>
      <c r="E50" s="2959"/>
      <c r="F50" s="2959"/>
      <c r="G50" s="2959"/>
      <c r="H50" s="2959"/>
      <c r="I50" s="2959"/>
      <c r="J50" s="2959"/>
      <c r="K50" s="2959"/>
      <c r="L50" s="2959"/>
      <c r="M50" s="2959"/>
      <c r="N50" s="2959"/>
      <c r="O50" s="2959"/>
      <c r="P50" s="110"/>
      <c r="Q50" s="110"/>
      <c r="R50" s="110"/>
      <c r="S50" s="110"/>
      <c r="T50" s="110"/>
      <c r="U50" s="110"/>
      <c r="V50" s="110"/>
      <c r="W50" s="110"/>
      <c r="X50" s="110"/>
      <c r="Y50" s="110"/>
    </row>
    <row r="51" spans="1:25" s="109" customFormat="1" x14ac:dyDescent="0.25">
      <c r="A51" s="2959"/>
      <c r="B51" s="2959"/>
      <c r="C51" s="2959"/>
      <c r="D51" s="2959"/>
      <c r="E51" s="2959"/>
      <c r="F51" s="2959"/>
      <c r="G51" s="2959"/>
      <c r="H51" s="2959"/>
      <c r="I51" s="2959"/>
      <c r="J51" s="2959"/>
      <c r="K51" s="2959"/>
      <c r="L51" s="2959"/>
      <c r="M51" s="2959"/>
      <c r="N51" s="2959"/>
      <c r="O51" s="2959"/>
      <c r="P51" s="110"/>
      <c r="Q51" s="110"/>
      <c r="R51" s="110"/>
      <c r="S51" s="110"/>
      <c r="T51" s="110"/>
      <c r="U51" s="110"/>
      <c r="V51" s="110"/>
      <c r="W51" s="110"/>
      <c r="X51" s="110"/>
      <c r="Y51" s="110"/>
    </row>
    <row r="52" spans="1:25" s="109" customFormat="1" x14ac:dyDescent="0.25">
      <c r="A52" s="2959"/>
      <c r="B52" s="2959"/>
      <c r="C52" s="2959"/>
      <c r="D52" s="2959"/>
      <c r="E52" s="2959"/>
      <c r="F52" s="2959"/>
      <c r="G52" s="2959"/>
      <c r="H52" s="2959"/>
      <c r="I52" s="2959"/>
      <c r="J52" s="2959"/>
      <c r="K52" s="2959"/>
      <c r="L52" s="2959"/>
      <c r="M52" s="2959"/>
      <c r="N52" s="2959"/>
      <c r="O52" s="2959"/>
      <c r="P52" s="110"/>
      <c r="Q52" s="110"/>
      <c r="R52" s="110"/>
      <c r="S52" s="110"/>
      <c r="T52" s="110"/>
      <c r="U52" s="110"/>
      <c r="V52" s="110"/>
      <c r="W52" s="110"/>
      <c r="X52" s="110"/>
      <c r="Y52" s="110"/>
    </row>
    <row r="53" spans="1:25" s="109" customFormat="1" x14ac:dyDescent="0.25">
      <c r="A53" s="2959"/>
      <c r="B53" s="2959"/>
      <c r="C53" s="2959"/>
      <c r="D53" s="2959"/>
      <c r="E53" s="2959"/>
      <c r="F53" s="2959"/>
      <c r="G53" s="2959"/>
      <c r="H53" s="2959"/>
      <c r="I53" s="2959"/>
      <c r="J53" s="2959"/>
      <c r="K53" s="2959"/>
      <c r="L53" s="2959"/>
      <c r="M53" s="2959"/>
      <c r="N53" s="2959"/>
      <c r="O53" s="2959"/>
      <c r="P53" s="110"/>
      <c r="Q53" s="110"/>
      <c r="R53" s="110"/>
      <c r="S53" s="110"/>
      <c r="T53" s="110"/>
      <c r="U53" s="110"/>
      <c r="V53" s="110"/>
      <c r="W53" s="110"/>
      <c r="X53" s="110"/>
      <c r="Y53" s="110"/>
    </row>
    <row r="54" spans="1:25" s="109" customFormat="1" x14ac:dyDescent="0.25">
      <c r="A54" s="2959"/>
      <c r="B54" s="2959"/>
      <c r="C54" s="2959"/>
      <c r="D54" s="2959"/>
      <c r="E54" s="2959"/>
      <c r="F54" s="2959"/>
      <c r="G54" s="2959"/>
      <c r="H54" s="2959"/>
      <c r="I54" s="2959"/>
      <c r="J54" s="2959"/>
      <c r="K54" s="2959"/>
      <c r="L54" s="2959"/>
      <c r="M54" s="2959"/>
      <c r="N54" s="2959"/>
      <c r="O54" s="2959"/>
      <c r="P54" s="110"/>
      <c r="Q54" s="110"/>
      <c r="R54" s="110"/>
      <c r="S54" s="110"/>
      <c r="T54" s="110"/>
      <c r="U54" s="110"/>
      <c r="V54" s="110"/>
      <c r="W54" s="110"/>
      <c r="X54" s="110"/>
      <c r="Y54" s="110"/>
    </row>
    <row r="55" spans="1:25" s="109" customFormat="1" x14ac:dyDescent="0.25">
      <c r="A55" s="2959"/>
      <c r="B55" s="2959"/>
      <c r="C55" s="2959"/>
      <c r="D55" s="2959"/>
      <c r="E55" s="2959"/>
      <c r="F55" s="2959"/>
      <c r="G55" s="2959"/>
      <c r="H55" s="2959"/>
      <c r="I55" s="2959"/>
      <c r="J55" s="2959"/>
      <c r="K55" s="2959"/>
      <c r="L55" s="2959"/>
      <c r="M55" s="2959"/>
      <c r="N55" s="2959"/>
      <c r="O55" s="2959"/>
      <c r="P55" s="110"/>
      <c r="Q55" s="110"/>
      <c r="R55" s="110"/>
      <c r="S55" s="110"/>
      <c r="T55" s="110"/>
      <c r="U55" s="110"/>
      <c r="V55" s="110"/>
      <c r="W55" s="110"/>
      <c r="X55" s="110"/>
      <c r="Y55" s="110"/>
    </row>
    <row r="56" spans="1:25" s="109" customFormat="1" x14ac:dyDescent="0.25">
      <c r="A56" s="2959"/>
      <c r="B56" s="2959"/>
      <c r="C56" s="2959"/>
      <c r="D56" s="2959"/>
      <c r="E56" s="2959"/>
      <c r="F56" s="2959"/>
      <c r="G56" s="2959"/>
      <c r="H56" s="2959"/>
      <c r="I56" s="2959"/>
      <c r="J56" s="2959"/>
      <c r="K56" s="2959"/>
      <c r="L56" s="2959"/>
      <c r="M56" s="2959"/>
      <c r="N56" s="2959"/>
      <c r="O56" s="2959"/>
      <c r="P56" s="110"/>
      <c r="Q56" s="110"/>
      <c r="R56" s="110"/>
      <c r="S56" s="110"/>
      <c r="T56" s="110"/>
      <c r="U56" s="110"/>
      <c r="V56" s="110"/>
      <c r="W56" s="110"/>
      <c r="X56" s="110"/>
      <c r="Y56" s="110"/>
    </row>
    <row r="57" spans="1:25" s="109" customFormat="1" x14ac:dyDescent="0.25">
      <c r="A57" s="2959"/>
      <c r="B57" s="2959"/>
      <c r="C57" s="2959"/>
      <c r="D57" s="2959"/>
      <c r="E57" s="2959"/>
      <c r="F57" s="2959"/>
      <c r="G57" s="2959"/>
      <c r="H57" s="2959"/>
      <c r="I57" s="2959"/>
      <c r="J57" s="2959"/>
      <c r="K57" s="2959"/>
      <c r="L57" s="2959"/>
      <c r="M57" s="2959"/>
      <c r="N57" s="2959"/>
      <c r="O57" s="2959"/>
      <c r="P57" s="110"/>
      <c r="Q57" s="110"/>
      <c r="R57" s="110"/>
      <c r="S57" s="110"/>
      <c r="T57" s="110"/>
      <c r="U57" s="110"/>
      <c r="V57" s="110"/>
      <c r="W57" s="110"/>
      <c r="X57" s="110"/>
      <c r="Y57" s="110"/>
    </row>
    <row r="58" spans="1:25" s="109" customFormat="1" x14ac:dyDescent="0.25">
      <c r="A58" s="116"/>
      <c r="B58" s="118"/>
      <c r="C58" s="119"/>
      <c r="D58" s="119"/>
      <c r="E58" s="119"/>
      <c r="F58" s="119"/>
      <c r="G58" s="119"/>
      <c r="H58" s="120"/>
      <c r="I58" s="121"/>
      <c r="J58" s="121"/>
      <c r="K58" s="121"/>
      <c r="L58" s="121"/>
      <c r="M58" s="121"/>
      <c r="N58" s="121"/>
      <c r="P58" s="110"/>
      <c r="Q58" s="110"/>
      <c r="R58" s="110"/>
      <c r="S58" s="110"/>
      <c r="T58" s="110"/>
      <c r="U58" s="110"/>
      <c r="V58" s="110"/>
      <c r="W58" s="110"/>
      <c r="X58" s="110"/>
      <c r="Y58" s="110"/>
    </row>
    <row r="59" spans="1:25" s="109" customFormat="1" x14ac:dyDescent="0.25">
      <c r="A59" s="116"/>
      <c r="B59" s="118"/>
      <c r="C59" s="119"/>
      <c r="D59" s="119"/>
      <c r="E59" s="119"/>
      <c r="F59" s="119"/>
      <c r="G59" s="119"/>
      <c r="H59" s="120"/>
      <c r="I59" s="121"/>
      <c r="J59" s="121"/>
      <c r="K59" s="121"/>
      <c r="L59" s="121"/>
      <c r="M59" s="121"/>
      <c r="N59" s="121"/>
      <c r="P59" s="110"/>
      <c r="Q59" s="110"/>
      <c r="R59" s="110"/>
      <c r="S59" s="110"/>
      <c r="T59" s="110"/>
      <c r="U59" s="110"/>
      <c r="V59" s="110"/>
      <c r="W59" s="110"/>
      <c r="X59" s="110"/>
      <c r="Y59" s="110"/>
    </row>
    <row r="60" spans="1:25" s="109" customFormat="1" x14ac:dyDescent="0.25">
      <c r="A60" s="116"/>
      <c r="B60" s="118"/>
      <c r="C60" s="119"/>
      <c r="D60" s="119"/>
      <c r="E60" s="119"/>
      <c r="F60" s="119"/>
      <c r="G60" s="119"/>
      <c r="H60" s="120"/>
      <c r="I60" s="121"/>
      <c r="J60" s="121"/>
      <c r="K60" s="121"/>
      <c r="L60" s="121"/>
      <c r="M60" s="121"/>
      <c r="N60" s="121"/>
      <c r="P60" s="110"/>
      <c r="Q60" s="110"/>
      <c r="R60" s="110"/>
      <c r="S60" s="110"/>
      <c r="T60" s="110"/>
      <c r="U60" s="110"/>
      <c r="V60" s="110"/>
      <c r="W60" s="110"/>
      <c r="X60" s="110"/>
      <c r="Y60" s="110"/>
    </row>
    <row r="61" spans="1:25" s="109" customFormat="1" x14ac:dyDescent="0.25">
      <c r="A61" s="116"/>
      <c r="B61" s="118"/>
      <c r="C61" s="119"/>
      <c r="D61" s="119"/>
      <c r="E61" s="119"/>
      <c r="F61" s="119"/>
      <c r="G61" s="119"/>
      <c r="H61" s="120"/>
      <c r="I61" s="121"/>
      <c r="J61" s="121"/>
      <c r="K61" s="121"/>
      <c r="L61" s="121"/>
      <c r="M61" s="121"/>
      <c r="N61" s="121"/>
      <c r="P61" s="110"/>
      <c r="Q61" s="110"/>
      <c r="R61" s="110"/>
      <c r="S61" s="110"/>
      <c r="T61" s="110"/>
      <c r="U61" s="110"/>
      <c r="V61" s="110"/>
      <c r="W61" s="110"/>
      <c r="X61" s="110"/>
      <c r="Y61" s="110"/>
    </row>
    <row r="62" spans="1:25" s="109" customFormat="1" x14ac:dyDescent="0.25">
      <c r="A62" s="116"/>
      <c r="B62" s="118"/>
      <c r="C62" s="119"/>
      <c r="D62" s="119"/>
      <c r="E62" s="119"/>
      <c r="F62" s="119"/>
      <c r="G62" s="119"/>
      <c r="H62" s="120"/>
      <c r="I62" s="121"/>
      <c r="J62" s="121"/>
      <c r="K62" s="121"/>
      <c r="L62" s="121"/>
      <c r="M62" s="121"/>
      <c r="N62" s="121"/>
      <c r="P62" s="110"/>
      <c r="Q62" s="110"/>
      <c r="R62" s="110"/>
      <c r="S62" s="110"/>
      <c r="T62" s="110"/>
      <c r="U62" s="110"/>
      <c r="V62" s="110"/>
      <c r="W62" s="110"/>
      <c r="X62" s="110"/>
      <c r="Y62" s="110"/>
    </row>
    <row r="63" spans="1:25" s="109" customFormat="1" x14ac:dyDescent="0.25">
      <c r="A63" s="116"/>
      <c r="B63" s="118"/>
      <c r="C63" s="119"/>
      <c r="D63" s="119"/>
      <c r="E63" s="119"/>
      <c r="F63" s="119"/>
      <c r="G63" s="119"/>
      <c r="H63" s="120"/>
      <c r="I63" s="121"/>
      <c r="J63" s="121"/>
      <c r="K63" s="121"/>
      <c r="L63" s="121"/>
      <c r="M63" s="121"/>
      <c r="N63" s="121"/>
      <c r="P63" s="110"/>
      <c r="Q63" s="110"/>
      <c r="R63" s="110"/>
      <c r="S63" s="110"/>
      <c r="T63" s="110"/>
      <c r="U63" s="110"/>
      <c r="V63" s="110"/>
      <c r="W63" s="110"/>
      <c r="X63" s="110"/>
      <c r="Y63" s="110"/>
    </row>
    <row r="64" spans="1:25" s="109" customFormat="1" x14ac:dyDescent="0.25">
      <c r="A64" s="116"/>
      <c r="B64" s="118"/>
      <c r="C64" s="119"/>
      <c r="D64" s="119"/>
      <c r="E64" s="119"/>
      <c r="F64" s="119"/>
      <c r="G64" s="119"/>
      <c r="H64" s="120"/>
      <c r="I64" s="121"/>
      <c r="J64" s="121"/>
      <c r="K64" s="121"/>
      <c r="L64" s="121"/>
      <c r="M64" s="121"/>
      <c r="N64" s="121"/>
      <c r="P64" s="110"/>
      <c r="Q64" s="110"/>
      <c r="R64" s="110"/>
      <c r="S64" s="110"/>
      <c r="T64" s="110"/>
      <c r="U64" s="110"/>
      <c r="V64" s="110"/>
      <c r="W64" s="110"/>
      <c r="X64" s="110"/>
      <c r="Y64" s="110"/>
    </row>
    <row r="65" spans="1:25" s="109" customFormat="1" x14ac:dyDescent="0.25">
      <c r="A65" s="116"/>
      <c r="B65" s="118"/>
      <c r="C65" s="119"/>
      <c r="D65" s="119"/>
      <c r="E65" s="119"/>
      <c r="F65" s="119"/>
      <c r="G65" s="119"/>
      <c r="H65" s="120"/>
      <c r="I65" s="121"/>
      <c r="J65" s="121"/>
      <c r="K65" s="121"/>
      <c r="L65" s="121"/>
      <c r="M65" s="121"/>
      <c r="N65" s="121"/>
      <c r="P65" s="110"/>
      <c r="Q65" s="110"/>
      <c r="R65" s="110"/>
      <c r="S65" s="110"/>
      <c r="T65" s="110"/>
      <c r="U65" s="110"/>
      <c r="V65" s="110"/>
      <c r="W65" s="110"/>
      <c r="X65" s="110"/>
      <c r="Y65" s="110"/>
    </row>
    <row r="66" spans="1:25" s="109" customFormat="1" x14ac:dyDescent="0.25">
      <c r="A66" s="116"/>
      <c r="B66" s="118"/>
      <c r="C66" s="119"/>
      <c r="D66" s="119"/>
      <c r="E66" s="119"/>
      <c r="F66" s="119"/>
      <c r="G66" s="119"/>
      <c r="H66" s="120"/>
      <c r="I66" s="121"/>
      <c r="J66" s="121"/>
      <c r="K66" s="121"/>
      <c r="L66" s="121"/>
      <c r="M66" s="121"/>
      <c r="N66" s="121"/>
      <c r="P66" s="110"/>
      <c r="Q66" s="110"/>
      <c r="R66" s="110"/>
      <c r="S66" s="110"/>
      <c r="T66" s="110"/>
      <c r="U66" s="110"/>
      <c r="V66" s="110"/>
      <c r="W66" s="110"/>
      <c r="X66" s="110"/>
      <c r="Y66" s="110"/>
    </row>
    <row r="67" spans="1:25" s="109" customFormat="1" x14ac:dyDescent="0.25">
      <c r="A67" s="116"/>
      <c r="B67" s="118"/>
      <c r="C67" s="119"/>
      <c r="D67" s="119"/>
      <c r="E67" s="119"/>
      <c r="F67" s="119"/>
      <c r="G67" s="119"/>
      <c r="H67" s="120"/>
      <c r="I67" s="121"/>
      <c r="J67" s="121"/>
      <c r="K67" s="121"/>
      <c r="L67" s="121"/>
      <c r="M67" s="121"/>
      <c r="N67" s="121"/>
      <c r="P67" s="110"/>
      <c r="Q67" s="110"/>
      <c r="R67" s="110"/>
      <c r="S67" s="110"/>
      <c r="T67" s="110"/>
      <c r="U67" s="110"/>
      <c r="V67" s="110"/>
      <c r="W67" s="110"/>
      <c r="X67" s="110"/>
      <c r="Y67" s="110"/>
    </row>
    <row r="68" spans="1:25" s="109" customFormat="1" x14ac:dyDescent="0.25">
      <c r="A68" s="116"/>
      <c r="B68" s="118"/>
      <c r="C68" s="119"/>
      <c r="D68" s="119"/>
      <c r="E68" s="119"/>
      <c r="F68" s="119"/>
      <c r="G68" s="119"/>
      <c r="H68" s="120"/>
      <c r="I68" s="121"/>
      <c r="J68" s="121"/>
      <c r="K68" s="121"/>
      <c r="L68" s="121"/>
      <c r="M68" s="121"/>
      <c r="N68" s="121"/>
      <c r="P68" s="110"/>
      <c r="Q68" s="110"/>
      <c r="R68" s="110"/>
      <c r="S68" s="110"/>
      <c r="T68" s="110"/>
      <c r="U68" s="110"/>
      <c r="V68" s="110"/>
      <c r="W68" s="110"/>
      <c r="X68" s="110"/>
      <c r="Y68" s="110"/>
    </row>
    <row r="69" spans="1:25" s="109" customFormat="1" x14ac:dyDescent="0.25">
      <c r="A69" s="116"/>
      <c r="B69" s="118"/>
      <c r="C69" s="119"/>
      <c r="D69" s="119"/>
      <c r="E69" s="119"/>
      <c r="F69" s="119"/>
      <c r="G69" s="119"/>
      <c r="H69" s="120"/>
      <c r="I69" s="121"/>
      <c r="J69" s="121"/>
      <c r="K69" s="121"/>
      <c r="L69" s="121"/>
      <c r="M69" s="121"/>
      <c r="N69" s="121"/>
      <c r="P69" s="110"/>
      <c r="Q69" s="110"/>
      <c r="R69" s="110"/>
      <c r="S69" s="110"/>
      <c r="T69" s="110"/>
      <c r="U69" s="110"/>
      <c r="V69" s="110"/>
      <c r="W69" s="110"/>
      <c r="X69" s="110"/>
      <c r="Y69" s="110"/>
    </row>
    <row r="70" spans="1:25" s="109" customFormat="1" x14ac:dyDescent="0.25">
      <c r="A70" s="116"/>
      <c r="B70" s="118"/>
      <c r="C70" s="119"/>
      <c r="D70" s="119"/>
      <c r="E70" s="119"/>
      <c r="F70" s="119"/>
      <c r="G70" s="119"/>
      <c r="H70" s="120"/>
      <c r="I70" s="121"/>
      <c r="J70" s="121"/>
      <c r="K70" s="121"/>
      <c r="L70" s="121"/>
      <c r="M70" s="121"/>
      <c r="N70" s="121"/>
      <c r="P70" s="110"/>
      <c r="Q70" s="110"/>
      <c r="R70" s="110"/>
      <c r="S70" s="110"/>
      <c r="T70" s="110"/>
      <c r="U70" s="110"/>
      <c r="V70" s="110"/>
      <c r="W70" s="110"/>
      <c r="X70" s="110"/>
      <c r="Y70" s="110"/>
    </row>
    <row r="71" spans="1:25" s="109" customFormat="1" x14ac:dyDescent="0.25">
      <c r="A71" s="116"/>
      <c r="B71" s="118"/>
      <c r="C71" s="119"/>
      <c r="D71" s="119"/>
      <c r="E71" s="119"/>
      <c r="F71" s="119"/>
      <c r="G71" s="119"/>
      <c r="H71" s="120"/>
      <c r="I71" s="121"/>
      <c r="J71" s="121"/>
      <c r="K71" s="121"/>
      <c r="L71" s="121"/>
      <c r="M71" s="121"/>
      <c r="N71" s="121"/>
      <c r="P71" s="110"/>
      <c r="Q71" s="110"/>
      <c r="R71" s="110"/>
      <c r="S71" s="110"/>
      <c r="T71" s="110"/>
      <c r="U71" s="110"/>
      <c r="V71" s="110"/>
      <c r="W71" s="110"/>
      <c r="X71" s="110"/>
      <c r="Y71" s="110"/>
    </row>
    <row r="72" spans="1:25" s="109" customFormat="1" x14ac:dyDescent="0.25">
      <c r="A72" s="116"/>
      <c r="B72" s="118"/>
      <c r="C72" s="119"/>
      <c r="D72" s="119"/>
      <c r="E72" s="119"/>
      <c r="F72" s="119"/>
      <c r="G72" s="119"/>
      <c r="H72" s="120"/>
      <c r="I72" s="121"/>
      <c r="J72" s="121"/>
      <c r="K72" s="121"/>
      <c r="L72" s="121"/>
      <c r="M72" s="121"/>
      <c r="N72" s="121"/>
      <c r="P72" s="110"/>
      <c r="Q72" s="110"/>
      <c r="R72" s="110"/>
      <c r="S72" s="110"/>
      <c r="T72" s="110"/>
      <c r="U72" s="110"/>
      <c r="V72" s="110"/>
      <c r="W72" s="110"/>
      <c r="X72" s="110"/>
      <c r="Y72" s="110"/>
    </row>
    <row r="73" spans="1:25" s="109" customFormat="1" x14ac:dyDescent="0.25">
      <c r="A73" s="116"/>
      <c r="B73" s="118"/>
      <c r="C73" s="119"/>
      <c r="D73" s="119"/>
      <c r="E73" s="119"/>
      <c r="F73" s="119"/>
      <c r="G73" s="119"/>
      <c r="H73" s="120"/>
      <c r="I73" s="121"/>
      <c r="J73" s="121"/>
      <c r="K73" s="121"/>
      <c r="L73" s="121"/>
      <c r="M73" s="121"/>
      <c r="N73" s="121"/>
      <c r="P73" s="110"/>
      <c r="Q73" s="110"/>
      <c r="R73" s="110"/>
      <c r="S73" s="110"/>
      <c r="T73" s="110"/>
      <c r="U73" s="110"/>
      <c r="V73" s="110"/>
      <c r="W73" s="110"/>
      <c r="X73" s="110"/>
      <c r="Y73" s="110"/>
    </row>
    <row r="74" spans="1:25" s="109" customFormat="1" x14ac:dyDescent="0.25">
      <c r="A74" s="116"/>
      <c r="B74" s="118"/>
      <c r="C74" s="119"/>
      <c r="D74" s="119"/>
      <c r="E74" s="119"/>
      <c r="F74" s="119"/>
      <c r="G74" s="119"/>
      <c r="H74" s="120"/>
      <c r="I74" s="121"/>
      <c r="J74" s="121"/>
      <c r="K74" s="121"/>
      <c r="L74" s="121"/>
      <c r="M74" s="121"/>
      <c r="N74" s="121"/>
      <c r="P74" s="110"/>
      <c r="Q74" s="110"/>
      <c r="R74" s="110"/>
      <c r="S74" s="110"/>
      <c r="T74" s="110"/>
      <c r="U74" s="110"/>
      <c r="V74" s="110"/>
      <c r="W74" s="110"/>
      <c r="X74" s="110"/>
      <c r="Y74" s="110"/>
    </row>
    <row r="75" spans="1:25" s="109" customFormat="1" x14ac:dyDescent="0.25">
      <c r="A75" s="116"/>
      <c r="B75" s="118"/>
      <c r="C75" s="119"/>
      <c r="D75" s="119"/>
      <c r="E75" s="119"/>
      <c r="F75" s="119"/>
      <c r="G75" s="119"/>
      <c r="H75" s="120"/>
      <c r="I75" s="121"/>
      <c r="J75" s="121"/>
      <c r="K75" s="121"/>
      <c r="L75" s="121"/>
      <c r="M75" s="121"/>
      <c r="N75" s="121"/>
      <c r="P75" s="110"/>
      <c r="Q75" s="110"/>
      <c r="R75" s="110"/>
      <c r="S75" s="110"/>
      <c r="T75" s="110"/>
      <c r="U75" s="110"/>
      <c r="V75" s="110"/>
      <c r="W75" s="110"/>
      <c r="X75" s="110"/>
      <c r="Y75" s="110"/>
    </row>
    <row r="76" spans="1:25" s="109" customFormat="1" x14ac:dyDescent="0.25">
      <c r="A76" s="116"/>
      <c r="B76" s="118"/>
      <c r="C76" s="119"/>
      <c r="D76" s="119"/>
      <c r="E76" s="119"/>
      <c r="F76" s="119"/>
      <c r="G76" s="119"/>
      <c r="H76" s="120"/>
      <c r="I76" s="121"/>
      <c r="J76" s="121"/>
      <c r="K76" s="121"/>
      <c r="L76" s="121"/>
      <c r="M76" s="121"/>
      <c r="N76" s="121"/>
      <c r="P76" s="110"/>
      <c r="Q76" s="110"/>
      <c r="R76" s="110"/>
      <c r="S76" s="110"/>
      <c r="T76" s="110"/>
      <c r="U76" s="110"/>
      <c r="V76" s="110"/>
      <c r="W76" s="110"/>
      <c r="X76" s="110"/>
      <c r="Y76" s="110"/>
    </row>
    <row r="77" spans="1:25" s="109" customFormat="1" x14ac:dyDescent="0.25">
      <c r="A77" s="116"/>
      <c r="B77" s="118"/>
      <c r="C77" s="119"/>
      <c r="D77" s="119"/>
      <c r="E77" s="119"/>
      <c r="F77" s="119"/>
      <c r="G77" s="119"/>
      <c r="H77" s="120"/>
      <c r="I77" s="121"/>
      <c r="J77" s="121"/>
      <c r="K77" s="121"/>
      <c r="L77" s="121"/>
      <c r="M77" s="121"/>
      <c r="N77" s="121"/>
      <c r="P77" s="110"/>
      <c r="Q77" s="110"/>
      <c r="R77" s="110"/>
      <c r="S77" s="110"/>
      <c r="T77" s="110"/>
      <c r="U77" s="110"/>
      <c r="V77" s="110"/>
      <c r="W77" s="110"/>
      <c r="X77" s="110"/>
      <c r="Y77" s="110"/>
    </row>
    <row r="78" spans="1:25" s="109" customFormat="1" x14ac:dyDescent="0.25">
      <c r="A78" s="116"/>
      <c r="B78" s="118"/>
      <c r="C78" s="119"/>
      <c r="D78" s="119"/>
      <c r="E78" s="119"/>
      <c r="F78" s="119"/>
      <c r="G78" s="119"/>
      <c r="H78" s="120"/>
      <c r="I78" s="121"/>
      <c r="J78" s="121"/>
      <c r="K78" s="121"/>
      <c r="L78" s="121"/>
      <c r="M78" s="121"/>
      <c r="N78" s="121"/>
      <c r="P78" s="110"/>
      <c r="Q78" s="110"/>
      <c r="R78" s="110"/>
      <c r="S78" s="110"/>
      <c r="T78" s="110"/>
      <c r="U78" s="110"/>
      <c r="V78" s="110"/>
      <c r="W78" s="110"/>
      <c r="X78" s="110"/>
      <c r="Y78" s="110"/>
    </row>
    <row r="79" spans="1:25" s="109" customFormat="1" x14ac:dyDescent="0.25">
      <c r="A79" s="116"/>
      <c r="B79" s="118"/>
      <c r="C79" s="119"/>
      <c r="D79" s="119"/>
      <c r="E79" s="119"/>
      <c r="F79" s="119"/>
      <c r="G79" s="119"/>
      <c r="H79" s="120"/>
      <c r="I79" s="121"/>
      <c r="J79" s="121"/>
      <c r="K79" s="121"/>
      <c r="L79" s="121"/>
      <c r="M79" s="121"/>
      <c r="N79" s="121"/>
      <c r="P79" s="110"/>
      <c r="Q79" s="110"/>
      <c r="R79" s="110"/>
      <c r="S79" s="110"/>
      <c r="T79" s="110"/>
      <c r="U79" s="110"/>
      <c r="V79" s="110"/>
      <c r="W79" s="110"/>
      <c r="X79" s="110"/>
      <c r="Y79" s="110"/>
    </row>
    <row r="80" spans="1:25" s="109" customFormat="1" x14ac:dyDescent="0.25">
      <c r="A80" s="116"/>
      <c r="B80" s="118"/>
      <c r="C80" s="119"/>
      <c r="D80" s="119"/>
      <c r="E80" s="119"/>
      <c r="F80" s="119"/>
      <c r="G80" s="119"/>
      <c r="H80" s="120"/>
      <c r="I80" s="121"/>
      <c r="J80" s="121"/>
      <c r="K80" s="121"/>
      <c r="L80" s="121"/>
      <c r="M80" s="121"/>
      <c r="N80" s="121"/>
      <c r="P80" s="110"/>
      <c r="Q80" s="110"/>
      <c r="R80" s="110"/>
      <c r="S80" s="110"/>
      <c r="T80" s="110"/>
      <c r="U80" s="110"/>
      <c r="V80" s="110"/>
      <c r="W80" s="110"/>
      <c r="X80" s="110"/>
      <c r="Y80" s="110"/>
    </row>
    <row r="81" spans="1:25" s="109" customFormat="1" x14ac:dyDescent="0.25">
      <c r="A81" s="116"/>
      <c r="B81" s="118"/>
      <c r="C81" s="119"/>
      <c r="D81" s="119"/>
      <c r="E81" s="119"/>
      <c r="F81" s="119"/>
      <c r="G81" s="119"/>
      <c r="H81" s="120"/>
      <c r="I81" s="121"/>
      <c r="J81" s="121"/>
      <c r="K81" s="121"/>
      <c r="L81" s="121"/>
      <c r="M81" s="121"/>
      <c r="N81" s="121"/>
      <c r="P81" s="110"/>
      <c r="Q81" s="110"/>
      <c r="R81" s="110"/>
      <c r="S81" s="110"/>
      <c r="T81" s="110"/>
      <c r="U81" s="110"/>
      <c r="V81" s="110"/>
      <c r="W81" s="110"/>
      <c r="X81" s="110"/>
      <c r="Y81" s="110"/>
    </row>
    <row r="82" spans="1:25" s="109" customFormat="1" x14ac:dyDescent="0.25">
      <c r="A82" s="116"/>
      <c r="B82" s="118"/>
      <c r="C82" s="119"/>
      <c r="D82" s="119"/>
      <c r="E82" s="119"/>
      <c r="F82" s="119"/>
      <c r="G82" s="119"/>
      <c r="H82" s="120"/>
      <c r="I82" s="121"/>
      <c r="J82" s="121"/>
      <c r="K82" s="121"/>
      <c r="L82" s="121"/>
      <c r="M82" s="121"/>
      <c r="N82" s="121"/>
      <c r="P82" s="110"/>
      <c r="Q82" s="110"/>
      <c r="R82" s="110"/>
      <c r="S82" s="110"/>
      <c r="T82" s="110"/>
      <c r="U82" s="110"/>
      <c r="V82" s="110"/>
      <c r="W82" s="110"/>
      <c r="X82" s="110"/>
      <c r="Y82" s="110"/>
    </row>
    <row r="83" spans="1:25" s="109" customFormat="1" x14ac:dyDescent="0.25">
      <c r="A83" s="116"/>
      <c r="B83" s="118"/>
      <c r="C83" s="119"/>
      <c r="D83" s="119"/>
      <c r="E83" s="119"/>
      <c r="F83" s="119"/>
      <c r="G83" s="119"/>
      <c r="H83" s="120"/>
      <c r="I83" s="121"/>
      <c r="J83" s="121"/>
      <c r="K83" s="121"/>
      <c r="L83" s="121"/>
      <c r="M83" s="121"/>
      <c r="N83" s="121"/>
      <c r="P83" s="110"/>
      <c r="Q83" s="110"/>
      <c r="R83" s="110"/>
      <c r="S83" s="110"/>
      <c r="T83" s="110"/>
      <c r="U83" s="110"/>
      <c r="V83" s="110"/>
      <c r="W83" s="110"/>
      <c r="X83" s="110"/>
      <c r="Y83" s="110"/>
    </row>
    <row r="84" spans="1:25" s="109" customFormat="1" x14ac:dyDescent="0.25">
      <c r="A84" s="116"/>
      <c r="B84" s="118"/>
      <c r="C84" s="119"/>
      <c r="D84" s="119"/>
      <c r="E84" s="119"/>
      <c r="F84" s="119"/>
      <c r="G84" s="119"/>
      <c r="H84" s="120"/>
      <c r="I84" s="121"/>
      <c r="J84" s="121"/>
      <c r="K84" s="121"/>
      <c r="L84" s="121"/>
      <c r="M84" s="121"/>
      <c r="N84" s="121"/>
      <c r="P84" s="110"/>
      <c r="Q84" s="110"/>
      <c r="R84" s="110"/>
      <c r="S84" s="110"/>
      <c r="T84" s="110"/>
      <c r="U84" s="110"/>
      <c r="V84" s="110"/>
      <c r="W84" s="110"/>
      <c r="X84" s="110"/>
      <c r="Y84" s="110"/>
    </row>
    <row r="85" spans="1:25" s="109" customFormat="1" x14ac:dyDescent="0.25">
      <c r="A85" s="116"/>
      <c r="B85" s="118"/>
      <c r="C85" s="119"/>
      <c r="D85" s="119"/>
      <c r="E85" s="119"/>
      <c r="F85" s="119"/>
      <c r="G85" s="119"/>
      <c r="H85" s="120"/>
      <c r="I85" s="121"/>
      <c r="J85" s="121"/>
      <c r="K85" s="121"/>
      <c r="L85" s="121"/>
      <c r="M85" s="121"/>
      <c r="N85" s="121"/>
      <c r="P85" s="110"/>
      <c r="Q85" s="110"/>
      <c r="R85" s="110"/>
      <c r="S85" s="110"/>
      <c r="T85" s="110"/>
      <c r="U85" s="110"/>
      <c r="V85" s="110"/>
      <c r="W85" s="110"/>
      <c r="X85" s="110"/>
      <c r="Y85" s="110"/>
    </row>
    <row r="86" spans="1:25" s="109" customFormat="1" x14ac:dyDescent="0.25">
      <c r="A86" s="116"/>
      <c r="B86" s="118"/>
      <c r="C86" s="119"/>
      <c r="D86" s="119"/>
      <c r="E86" s="119"/>
      <c r="F86" s="119"/>
      <c r="G86" s="119"/>
      <c r="H86" s="120"/>
      <c r="I86" s="121"/>
      <c r="J86" s="121"/>
      <c r="K86" s="121"/>
      <c r="L86" s="121"/>
      <c r="M86" s="121"/>
      <c r="N86" s="121"/>
      <c r="P86" s="110"/>
      <c r="Q86" s="110"/>
      <c r="R86" s="110"/>
      <c r="S86" s="110"/>
      <c r="T86" s="110"/>
      <c r="U86" s="110"/>
      <c r="V86" s="110"/>
      <c r="W86" s="110"/>
      <c r="X86" s="110"/>
      <c r="Y86" s="110"/>
    </row>
    <row r="87" spans="1:25" s="109" customFormat="1" x14ac:dyDescent="0.25">
      <c r="A87" s="116"/>
      <c r="B87" s="118"/>
      <c r="C87" s="119"/>
      <c r="D87" s="119"/>
      <c r="E87" s="119"/>
      <c r="F87" s="119"/>
      <c r="G87" s="119"/>
      <c r="H87" s="120"/>
      <c r="I87" s="121"/>
      <c r="J87" s="121"/>
      <c r="K87" s="121"/>
      <c r="L87" s="121"/>
      <c r="M87" s="121"/>
      <c r="N87" s="121"/>
      <c r="P87" s="110"/>
      <c r="Q87" s="110"/>
      <c r="R87" s="110"/>
      <c r="S87" s="110"/>
      <c r="T87" s="110"/>
      <c r="U87" s="110"/>
      <c r="V87" s="110"/>
      <c r="W87" s="110"/>
      <c r="X87" s="110"/>
      <c r="Y87" s="110"/>
    </row>
    <row r="88" spans="1:25" s="109" customFormat="1" x14ac:dyDescent="0.25">
      <c r="A88" s="116"/>
      <c r="B88" s="118"/>
      <c r="C88" s="119"/>
      <c r="D88" s="119"/>
      <c r="E88" s="119"/>
      <c r="F88" s="119"/>
      <c r="G88" s="119"/>
      <c r="H88" s="120"/>
      <c r="I88" s="121"/>
      <c r="J88" s="121"/>
      <c r="K88" s="121"/>
      <c r="L88" s="121"/>
      <c r="M88" s="121"/>
      <c r="N88" s="121"/>
      <c r="P88" s="110"/>
      <c r="Q88" s="110"/>
      <c r="R88" s="110"/>
      <c r="S88" s="110"/>
      <c r="T88" s="110"/>
      <c r="U88" s="110"/>
      <c r="V88" s="110"/>
      <c r="W88" s="110"/>
      <c r="X88" s="110"/>
      <c r="Y88" s="110"/>
    </row>
    <row r="89" spans="1:25" s="109" customFormat="1" x14ac:dyDescent="0.25">
      <c r="A89" s="116"/>
      <c r="B89" s="118"/>
      <c r="C89" s="119"/>
      <c r="D89" s="119"/>
      <c r="E89" s="119"/>
      <c r="F89" s="119"/>
      <c r="G89" s="119"/>
      <c r="H89" s="120"/>
      <c r="I89" s="121"/>
      <c r="J89" s="121"/>
      <c r="K89" s="121"/>
      <c r="L89" s="121"/>
      <c r="M89" s="121"/>
      <c r="N89" s="121"/>
      <c r="P89" s="110"/>
      <c r="Q89" s="110"/>
      <c r="R89" s="110"/>
      <c r="S89" s="110"/>
      <c r="T89" s="110"/>
      <c r="U89" s="110"/>
      <c r="V89" s="110"/>
      <c r="W89" s="110"/>
      <c r="X89" s="110"/>
      <c r="Y89" s="110"/>
    </row>
    <row r="90" spans="1:25" s="109" customFormat="1" x14ac:dyDescent="0.25">
      <c r="A90" s="116"/>
      <c r="B90" s="118"/>
      <c r="C90" s="119"/>
      <c r="D90" s="119"/>
      <c r="E90" s="119"/>
      <c r="F90" s="119"/>
      <c r="G90" s="119"/>
      <c r="H90" s="120"/>
      <c r="I90" s="121"/>
      <c r="J90" s="121"/>
      <c r="K90" s="121"/>
      <c r="L90" s="121"/>
      <c r="M90" s="121"/>
      <c r="N90" s="121"/>
      <c r="P90" s="110"/>
      <c r="Q90" s="110"/>
      <c r="R90" s="110"/>
      <c r="S90" s="110"/>
      <c r="T90" s="110"/>
      <c r="U90" s="110"/>
      <c r="V90" s="110"/>
      <c r="W90" s="110"/>
      <c r="X90" s="110"/>
      <c r="Y90" s="110"/>
    </row>
    <row r="91" spans="1:25" s="109" customFormat="1" x14ac:dyDescent="0.25">
      <c r="A91" s="116"/>
      <c r="B91" s="118"/>
      <c r="C91" s="119"/>
      <c r="D91" s="119"/>
      <c r="E91" s="119"/>
      <c r="F91" s="119"/>
      <c r="G91" s="119"/>
      <c r="H91" s="120"/>
      <c r="I91" s="121"/>
      <c r="J91" s="121"/>
      <c r="K91" s="121"/>
      <c r="L91" s="121"/>
      <c r="M91" s="121"/>
      <c r="N91" s="121"/>
      <c r="P91" s="110"/>
      <c r="Q91" s="110"/>
      <c r="R91" s="110"/>
      <c r="S91" s="110"/>
      <c r="T91" s="110"/>
      <c r="U91" s="110"/>
      <c r="V91" s="110"/>
      <c r="W91" s="110"/>
      <c r="X91" s="110"/>
      <c r="Y91" s="110"/>
    </row>
    <row r="92" spans="1:25" s="109" customFormat="1" x14ac:dyDescent="0.25">
      <c r="A92" s="116"/>
      <c r="B92" s="118"/>
      <c r="C92" s="119"/>
      <c r="D92" s="119"/>
      <c r="E92" s="119"/>
      <c r="F92" s="119"/>
      <c r="G92" s="119"/>
      <c r="H92" s="120"/>
      <c r="I92" s="121"/>
      <c r="J92" s="121"/>
      <c r="K92" s="121"/>
      <c r="L92" s="121"/>
      <c r="M92" s="121"/>
      <c r="N92" s="121"/>
      <c r="P92" s="110"/>
      <c r="Q92" s="110"/>
      <c r="R92" s="110"/>
      <c r="S92" s="110"/>
      <c r="T92" s="110"/>
      <c r="U92" s="110"/>
      <c r="V92" s="110"/>
      <c r="W92" s="110"/>
      <c r="X92" s="110"/>
      <c r="Y92" s="110"/>
    </row>
    <row r="93" spans="1:25" s="109" customFormat="1" x14ac:dyDescent="0.25">
      <c r="A93" s="116"/>
      <c r="B93" s="118"/>
      <c r="C93" s="119"/>
      <c r="D93" s="119"/>
      <c r="E93" s="119"/>
      <c r="F93" s="119"/>
      <c r="G93" s="119"/>
      <c r="H93" s="120"/>
      <c r="I93" s="121"/>
      <c r="J93" s="121"/>
      <c r="K93" s="121"/>
      <c r="L93" s="121"/>
      <c r="M93" s="121"/>
      <c r="N93" s="121"/>
      <c r="P93" s="110"/>
      <c r="Q93" s="110"/>
      <c r="R93" s="110"/>
      <c r="S93" s="110"/>
      <c r="T93" s="110"/>
      <c r="U93" s="110"/>
      <c r="V93" s="110"/>
      <c r="W93" s="110"/>
      <c r="X93" s="110"/>
      <c r="Y93" s="110"/>
    </row>
  </sheetData>
  <sheetProtection formatCells="0" formatColumns="0" formatRows="0"/>
  <mergeCells count="48">
    <mergeCell ref="W3:W4"/>
    <mergeCell ref="T9:T11"/>
    <mergeCell ref="U9:U11"/>
    <mergeCell ref="V9:V11"/>
    <mergeCell ref="R3:R4"/>
    <mergeCell ref="S3:S4"/>
    <mergeCell ref="T3:T4"/>
    <mergeCell ref="U3:U4"/>
    <mergeCell ref="V3:V4"/>
    <mergeCell ref="E2:E4"/>
    <mergeCell ref="AE2:AE4"/>
    <mergeCell ref="X12:AB12"/>
    <mergeCell ref="F2:G3"/>
    <mergeCell ref="H2:I3"/>
    <mergeCell ref="J2:M3"/>
    <mergeCell ref="N2:W2"/>
    <mergeCell ref="Q3:Q4"/>
    <mergeCell ref="R9:R11"/>
    <mergeCell ref="S9:S11"/>
    <mergeCell ref="AD2:AD4"/>
    <mergeCell ref="X15:AB15"/>
    <mergeCell ref="X16:AB16"/>
    <mergeCell ref="AB2:AB4"/>
    <mergeCell ref="X2:X4"/>
    <mergeCell ref="Y2:Y4"/>
    <mergeCell ref="Z2:Z4"/>
    <mergeCell ref="X13:AB13"/>
    <mergeCell ref="X9:X11"/>
    <mergeCell ref="X18:AB18"/>
    <mergeCell ref="AC2:AC4"/>
    <mergeCell ref="X17:AB17"/>
    <mergeCell ref="AA2:AA4"/>
    <mergeCell ref="A42:O43"/>
    <mergeCell ref="A44:O45"/>
    <mergeCell ref="N3:N4"/>
    <mergeCell ref="O3:O4"/>
    <mergeCell ref="B2:B4"/>
    <mergeCell ref="X14:AB14"/>
    <mergeCell ref="A50:O51"/>
    <mergeCell ref="A52:O53"/>
    <mergeCell ref="A54:O55"/>
    <mergeCell ref="A56:O57"/>
    <mergeCell ref="P3:P4"/>
    <mergeCell ref="C2:C4"/>
    <mergeCell ref="A46:O47"/>
    <mergeCell ref="A48:O49"/>
    <mergeCell ref="A2:A4"/>
    <mergeCell ref="D2:D4"/>
  </mergeCells>
  <conditionalFormatting sqref="AC14:AD18 X6:AE6 B6:M40 N10:N40">
    <cfRule type="cellIs" dxfId="11" priority="17" operator="lessThan">
      <formula>0</formula>
    </cfRule>
  </conditionalFormatting>
  <conditionalFormatting sqref="N6:W6">
    <cfRule type="cellIs" dxfId="10" priority="6" operator="lessThan">
      <formula>0</formula>
    </cfRule>
  </conditionalFormatting>
  <pageMargins left="0" right="0" top="0" bottom="0" header="0.39370078740157483" footer="0.31496062992125984"/>
  <pageSetup paperSize="9" scale="32" orientation="landscape" r:id="rId1"/>
  <headerFooter alignWithMargins="0">
    <oddFooter>&amp;RСтор.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0">
    <tabColor rgb="FF92D050"/>
  </sheetPr>
  <dimension ref="A1:K7"/>
  <sheetViews>
    <sheetView topLeftCell="D1" zoomScale="90" zoomScaleNormal="90" workbookViewId="0">
      <selection sqref="A1:M80"/>
    </sheetView>
  </sheetViews>
  <sheetFormatPr defaultRowHeight="15" x14ac:dyDescent="0.25"/>
  <cols>
    <col min="1" max="1" width="32.42578125" customWidth="1"/>
    <col min="2" max="2" width="16" customWidth="1"/>
    <col min="3" max="4" width="12" customWidth="1"/>
    <col min="5" max="5" width="14.5703125" customWidth="1"/>
    <col min="6" max="6" width="13.140625" customWidth="1"/>
    <col min="7" max="9" width="12" customWidth="1"/>
    <col min="10" max="10" width="25.7109375" customWidth="1"/>
    <col min="11" max="11" width="27.7109375" customWidth="1"/>
  </cols>
  <sheetData>
    <row r="1" spans="1:11" ht="27.75" customHeight="1" x14ac:dyDescent="0.25">
      <c r="A1" s="2988" t="s">
        <v>1481</v>
      </c>
      <c r="B1" s="2988"/>
      <c r="C1" s="2988"/>
      <c r="D1" s="2988"/>
      <c r="E1" s="2988"/>
      <c r="F1" s="2988"/>
      <c r="G1" s="2988"/>
      <c r="H1" s="2988"/>
      <c r="I1" s="2988"/>
      <c r="J1" s="2987" t="s">
        <v>1494</v>
      </c>
      <c r="K1" s="2987"/>
    </row>
    <row r="2" spans="1:11" ht="63" x14ac:dyDescent="0.25">
      <c r="A2" s="658" t="s">
        <v>1482</v>
      </c>
      <c r="B2" s="841" t="s">
        <v>1483</v>
      </c>
      <c r="C2" s="841" t="s">
        <v>1484</v>
      </c>
      <c r="D2" s="841" t="s">
        <v>1485</v>
      </c>
      <c r="E2" s="841" t="s">
        <v>1486</v>
      </c>
      <c r="F2" s="841" t="s">
        <v>1490</v>
      </c>
      <c r="G2" s="841" t="s">
        <v>1487</v>
      </c>
      <c r="H2" s="841" t="s">
        <v>1488</v>
      </c>
      <c r="I2" s="854" t="s">
        <v>1489</v>
      </c>
      <c r="J2" s="2989" t="str">
        <f>'Звіт   4,5,6'!K5</f>
        <v>Якщо є дохід від реалізації готової продукції р. 4.1.1 гр.5 то має бути виробнича собівартість готової продукції  р.5.1.1.1. гр.5 таблиці 5</v>
      </c>
      <c r="K2" s="2989" t="str">
        <f>'Звіт   4,5,6'!M5</f>
        <v>Якщо є дохід від реалізації товарів р. 4.1.2 гр.5 то має бути виробнича собівартість товарів  р.5.1.1.2. гр.5 таблиці 5</v>
      </c>
    </row>
    <row r="3" spans="1:11" ht="33" customHeight="1" x14ac:dyDescent="0.25">
      <c r="A3" s="853" t="s">
        <v>87</v>
      </c>
      <c r="B3" s="840">
        <f>'Звіт   4,5,6'!F8</f>
        <v>0</v>
      </c>
      <c r="C3" s="840">
        <f>'Звіт   4,5,6'!F9</f>
        <v>0</v>
      </c>
      <c r="D3" s="134">
        <f>'Звіт   4,5,6'!F10</f>
        <v>0</v>
      </c>
      <c r="E3" s="134">
        <f>'Звіт   4,5,6'!F11</f>
        <v>0</v>
      </c>
      <c r="F3" s="840">
        <f>'Звіт   4,5,6'!F29</f>
        <v>0</v>
      </c>
      <c r="G3" s="840">
        <f>'Звіт   4,5,6'!F30</f>
        <v>0</v>
      </c>
      <c r="H3" s="134">
        <f>'Звіт   4,5,6'!F31</f>
        <v>0</v>
      </c>
      <c r="I3" s="855">
        <f>'Звіт   4,5,6'!F32</f>
        <v>0</v>
      </c>
      <c r="J3" s="2989"/>
      <c r="K3" s="2989"/>
    </row>
    <row r="4" spans="1:11" ht="15.75" x14ac:dyDescent="0.25">
      <c r="A4" s="853" t="s">
        <v>8</v>
      </c>
      <c r="B4" s="840">
        <f>'Звіт   4,5,6'!H8</f>
        <v>14296309</v>
      </c>
      <c r="C4" s="840">
        <f>'Звіт   4,5,6'!H9</f>
        <v>0</v>
      </c>
      <c r="D4" s="134">
        <f>'Звіт   4,5,6'!H10</f>
        <v>0</v>
      </c>
      <c r="E4" s="134">
        <f>'Звіт   4,5,6'!H11</f>
        <v>14296309</v>
      </c>
      <c r="F4" s="840">
        <f>'Звіт   4,5,6'!H29</f>
        <v>0</v>
      </c>
      <c r="G4" s="840">
        <f>'Звіт   4,5,6'!H30</f>
        <v>0</v>
      </c>
      <c r="H4" s="134">
        <f>'Звіт   4,5,6'!H31</f>
        <v>0</v>
      </c>
      <c r="I4" s="855">
        <f>'Звіт   4,5,6'!H32</f>
        <v>0</v>
      </c>
      <c r="J4" s="856" t="str">
        <f>'Звіт   4,5,6'!K8</f>
        <v>ПРАВДА</v>
      </c>
      <c r="K4" s="856" t="str">
        <f>'Звіт   4,5,6'!M8</f>
        <v>ПРАВДА</v>
      </c>
    </row>
    <row r="7" spans="1:11" ht="19.5" customHeight="1" x14ac:dyDescent="0.25"/>
  </sheetData>
  <mergeCells count="4">
    <mergeCell ref="J1:K1"/>
    <mergeCell ref="A1:I1"/>
    <mergeCell ref="J2:J3"/>
    <mergeCell ref="K2:K3"/>
  </mergeCells>
  <conditionalFormatting sqref="B3:I4">
    <cfRule type="cellIs" dxfId="9" priority="5" operator="lessThan">
      <formula>0</formula>
    </cfRule>
  </conditionalFormatting>
  <conditionalFormatting sqref="A3">
    <cfRule type="cellIs" dxfId="8" priority="2" operator="lessThan">
      <formula>0</formula>
    </cfRule>
  </conditionalFormatting>
  <conditionalFormatting sqref="A4">
    <cfRule type="cellIs" dxfId="7" priority="1" operator="less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4">
    <tabColor rgb="FF92D050"/>
  </sheetPr>
  <dimension ref="A1:S60"/>
  <sheetViews>
    <sheetView showGridLines="0" view="pageBreakPreview" zoomScale="50" zoomScaleNormal="50" zoomScaleSheetLayoutView="50" zoomScalePageLayoutView="50" workbookViewId="0">
      <selection activeCell="W6" sqref="W6"/>
    </sheetView>
  </sheetViews>
  <sheetFormatPr defaultColWidth="8.7109375" defaultRowHeight="18.75" x14ac:dyDescent="0.25"/>
  <cols>
    <col min="1" max="1" width="12.5703125" style="23" customWidth="1"/>
    <col min="2" max="2" width="69.140625" style="64" customWidth="1"/>
    <col min="3" max="3" width="22" style="64" customWidth="1"/>
    <col min="4" max="4" width="22.140625" style="64" customWidth="1"/>
    <col min="5" max="5" width="14.140625" style="64" customWidth="1"/>
    <col min="6" max="6" width="20.42578125" style="64" customWidth="1"/>
    <col min="7" max="7" width="22.85546875" style="4" customWidth="1"/>
    <col min="8" max="8" width="21.5703125" style="4" customWidth="1"/>
    <col min="9" max="9" width="29.42578125" style="4" customWidth="1"/>
    <col min="10" max="10" width="31.42578125" style="4" customWidth="1"/>
    <col min="11" max="12" width="18.85546875" style="4" customWidth="1"/>
    <col min="13" max="13" width="19.5703125" style="4" customWidth="1"/>
    <col min="14" max="14" width="21.28515625" style="14" customWidth="1"/>
    <col min="15" max="15" width="21.42578125" style="14" customWidth="1"/>
    <col min="16" max="16" width="22.5703125" style="12" customWidth="1"/>
    <col min="17" max="17" width="23.140625" style="2" customWidth="1"/>
    <col min="18" max="19" width="8.7109375" style="84"/>
    <col min="20" max="212" width="8.7109375" style="2"/>
    <col min="213" max="213" width="78.5703125" style="2" customWidth="1"/>
    <col min="214" max="216" width="19.42578125" style="2" customWidth="1"/>
    <col min="217" max="16384" width="8.7109375" style="2"/>
  </cols>
  <sheetData>
    <row r="1" spans="1:17" ht="19.5" thickBot="1" x14ac:dyDescent="0.35">
      <c r="A1" s="80" t="s">
        <v>518</v>
      </c>
      <c r="B1" s="9"/>
      <c r="C1" s="46"/>
      <c r="D1" s="46"/>
      <c r="E1" s="46"/>
      <c r="F1" s="46"/>
      <c r="G1" s="46"/>
      <c r="H1" s="46"/>
      <c r="I1" s="46"/>
      <c r="J1" s="101"/>
      <c r="K1" s="102"/>
      <c r="L1" s="102"/>
      <c r="M1" s="102"/>
      <c r="N1" s="103"/>
      <c r="O1" s="99"/>
      <c r="P1" s="99"/>
      <c r="Q1" s="81"/>
    </row>
    <row r="2" spans="1:17" ht="86.25" customHeight="1" x14ac:dyDescent="0.25">
      <c r="A2" s="2203" t="s">
        <v>264</v>
      </c>
      <c r="B2" s="2990" t="s">
        <v>186</v>
      </c>
      <c r="C2" s="839" t="s">
        <v>276</v>
      </c>
      <c r="D2" s="839" t="s">
        <v>276</v>
      </c>
      <c r="E2" s="839" t="s">
        <v>276</v>
      </c>
      <c r="F2" s="822" t="s">
        <v>293</v>
      </c>
      <c r="G2" s="822" t="s">
        <v>293</v>
      </c>
      <c r="H2" s="822" t="s">
        <v>294</v>
      </c>
      <c r="I2" s="822" t="s">
        <v>294</v>
      </c>
      <c r="J2" s="822" t="s">
        <v>263</v>
      </c>
      <c r="K2" s="822" t="s">
        <v>263</v>
      </c>
      <c r="L2" s="823" t="s">
        <v>788</v>
      </c>
      <c r="M2" s="823" t="s">
        <v>788</v>
      </c>
      <c r="N2" s="824" t="s">
        <v>1191</v>
      </c>
      <c r="O2" s="824" t="s">
        <v>1191</v>
      </c>
      <c r="P2" s="822" t="s">
        <v>434</v>
      </c>
      <c r="Q2" s="822" t="s">
        <v>434</v>
      </c>
    </row>
    <row r="3" spans="1:17" ht="50.25" customHeight="1" x14ac:dyDescent="0.25">
      <c r="A3" s="2266"/>
      <c r="B3" s="2991"/>
      <c r="C3" s="47" t="s">
        <v>87</v>
      </c>
      <c r="D3" s="47" t="s">
        <v>8</v>
      </c>
      <c r="E3" s="47" t="s">
        <v>1480</v>
      </c>
      <c r="F3" s="47" t="s">
        <v>87</v>
      </c>
      <c r="G3" s="47" t="s">
        <v>8</v>
      </c>
      <c r="H3" s="47" t="s">
        <v>87</v>
      </c>
      <c r="I3" s="47" t="s">
        <v>8</v>
      </c>
      <c r="J3" s="47" t="s">
        <v>87</v>
      </c>
      <c r="K3" s="47" t="s">
        <v>8</v>
      </c>
      <c r="L3" s="47" t="s">
        <v>87</v>
      </c>
      <c r="M3" s="47" t="s">
        <v>8</v>
      </c>
      <c r="N3" s="658" t="s">
        <v>87</v>
      </c>
      <c r="O3" s="658" t="s">
        <v>8</v>
      </c>
      <c r="P3" s="658" t="s">
        <v>87</v>
      </c>
      <c r="Q3" s="659" t="s">
        <v>8</v>
      </c>
    </row>
    <row r="4" spans="1:17" x14ac:dyDescent="0.25">
      <c r="A4" s="399" t="s">
        <v>277</v>
      </c>
      <c r="B4" s="649"/>
      <c r="C4" s="49">
        <v>3</v>
      </c>
      <c r="D4" s="49">
        <v>4</v>
      </c>
      <c r="E4" s="49"/>
      <c r="F4" s="49">
        <v>6</v>
      </c>
      <c r="G4" s="49">
        <v>7</v>
      </c>
      <c r="H4" s="49">
        <v>9</v>
      </c>
      <c r="I4" s="49">
        <v>10</v>
      </c>
      <c r="J4" s="49">
        <v>11</v>
      </c>
      <c r="K4" s="49">
        <v>12</v>
      </c>
      <c r="L4" s="49">
        <v>13</v>
      </c>
      <c r="M4" s="49">
        <v>14</v>
      </c>
      <c r="N4" s="49">
        <v>15</v>
      </c>
      <c r="O4" s="49">
        <v>16</v>
      </c>
      <c r="P4" s="49">
        <v>17</v>
      </c>
      <c r="Q4" s="400">
        <v>18</v>
      </c>
    </row>
    <row r="5" spans="1:17" ht="33.75" customHeight="1" x14ac:dyDescent="0.35">
      <c r="A5" s="651" t="s">
        <v>158</v>
      </c>
      <c r="B5" s="653" t="s">
        <v>1053</v>
      </c>
      <c r="C5" s="48">
        <f>'Звіт   4,5,6'!D37</f>
        <v>0</v>
      </c>
      <c r="D5" s="48">
        <f>'Звіт   4,5,6'!E37</f>
        <v>32998630</v>
      </c>
      <c r="E5" s="838">
        <f>D5*100/$D$5</f>
        <v>100</v>
      </c>
      <c r="F5" s="205" t="str">
        <f>'Звіт   4,5,6'!F37</f>
        <v>-</v>
      </c>
      <c r="G5" s="205" t="str">
        <f>'Звіт   4,5,6'!G37</f>
        <v>-</v>
      </c>
      <c r="H5" s="205" t="str">
        <f>'Звіт   4,5,6'!H37</f>
        <v>-</v>
      </c>
      <c r="I5" s="205" t="str">
        <f>'Звіт   4,5,6'!I37</f>
        <v>-</v>
      </c>
      <c r="J5" s="205" t="str">
        <f>'Звіт   4,5,6'!J37</f>
        <v>-</v>
      </c>
      <c r="K5" s="205" t="str">
        <f>'Звіт   4,5,6'!K37</f>
        <v>-</v>
      </c>
      <c r="L5" s="205" t="str">
        <f>'Звіт   4,5,6'!L37</f>
        <v>-</v>
      </c>
      <c r="M5" s="205" t="str">
        <f>'Звіт   4,5,6'!M37</f>
        <v>-</v>
      </c>
      <c r="N5" s="205" t="str">
        <f>'Звіт   4,5,6'!N37</f>
        <v>-</v>
      </c>
      <c r="O5" s="205" t="str">
        <f>'Звіт   4,5,6'!O37</f>
        <v>-</v>
      </c>
      <c r="P5" s="205" t="str">
        <f>'Звіт   4,5,6'!P37</f>
        <v>-</v>
      </c>
      <c r="Q5" s="205" t="str">
        <f>'Звіт   4,5,6'!Q37</f>
        <v>-</v>
      </c>
    </row>
    <row r="6" spans="1:17" ht="33.75" customHeight="1" x14ac:dyDescent="0.35">
      <c r="A6" s="651" t="s">
        <v>159</v>
      </c>
      <c r="B6" s="653" t="s">
        <v>1450</v>
      </c>
      <c r="C6" s="48">
        <f>'Звіт   4,5,6'!D38</f>
        <v>0</v>
      </c>
      <c r="D6" s="48">
        <f>'Звіт   4,5,6'!E38</f>
        <v>32998630</v>
      </c>
      <c r="E6" s="838">
        <f t="shared" ref="E6:E60" si="0">D6*100/$D$5</f>
        <v>100</v>
      </c>
      <c r="F6" s="48">
        <f>'Звіт   4,5,6'!F38</f>
        <v>0</v>
      </c>
      <c r="G6" s="48">
        <f>'Звіт   4,5,6'!G38</f>
        <v>22559737</v>
      </c>
      <c r="H6" s="48">
        <f>'Звіт   4,5,6'!H38</f>
        <v>0</v>
      </c>
      <c r="I6" s="48">
        <f>'Звіт   4,5,6'!I38</f>
        <v>0</v>
      </c>
      <c r="J6" s="48">
        <f>'Звіт   4,5,6'!J38</f>
        <v>0</v>
      </c>
      <c r="K6" s="48">
        <f>'Звіт   4,5,6'!K38</f>
        <v>1789865</v>
      </c>
      <c r="L6" s="48">
        <f>'Звіт   4,5,6'!L38</f>
        <v>0</v>
      </c>
      <c r="M6" s="48">
        <f>'Звіт   4,5,6'!M38</f>
        <v>0</v>
      </c>
      <c r="N6" s="48">
        <f>'Звіт   4,5,6'!N38</f>
        <v>0</v>
      </c>
      <c r="O6" s="48">
        <f>'Звіт   4,5,6'!O38</f>
        <v>8649028</v>
      </c>
      <c r="P6" s="48">
        <f>'Звіт   4,5,6'!P38</f>
        <v>0</v>
      </c>
      <c r="Q6" s="48">
        <f>'Звіт   4,5,6'!Q38</f>
        <v>0</v>
      </c>
    </row>
    <row r="7" spans="1:17" ht="33.75" customHeight="1" x14ac:dyDescent="0.35">
      <c r="A7" s="402" t="s">
        <v>160</v>
      </c>
      <c r="B7" s="826" t="s">
        <v>1054</v>
      </c>
      <c r="C7" s="48">
        <f>'Звіт   4,5,6'!D39</f>
        <v>0</v>
      </c>
      <c r="D7" s="48">
        <f>'Звіт   4,5,6'!E39</f>
        <v>16891504</v>
      </c>
      <c r="E7" s="838">
        <f t="shared" si="0"/>
        <v>51.188500855944625</v>
      </c>
      <c r="F7" s="207">
        <f>'Звіт   4,5,6'!F39</f>
        <v>0</v>
      </c>
      <c r="G7" s="207">
        <f>'Звіт   4,5,6'!G39</f>
        <v>15435982</v>
      </c>
      <c r="H7" s="207">
        <f>'Звіт   4,5,6'!H39</f>
        <v>0</v>
      </c>
      <c r="I7" s="207">
        <f>'Звіт   4,5,6'!I39</f>
        <v>0</v>
      </c>
      <c r="J7" s="207">
        <f>'Звіт   4,5,6'!J39</f>
        <v>0</v>
      </c>
      <c r="K7" s="207">
        <f>'Звіт   4,5,6'!K39</f>
        <v>1455522</v>
      </c>
      <c r="L7" s="207">
        <f>'Звіт   4,5,6'!L39</f>
        <v>0</v>
      </c>
      <c r="M7" s="207">
        <f>'Звіт   4,5,6'!M39</f>
        <v>0</v>
      </c>
      <c r="N7" s="207">
        <f>'Звіт   4,5,6'!N39</f>
        <v>0</v>
      </c>
      <c r="O7" s="207">
        <f>'Звіт   4,5,6'!O39</f>
        <v>0</v>
      </c>
      <c r="P7" s="207">
        <f>'Звіт   4,5,6'!P39</f>
        <v>0</v>
      </c>
      <c r="Q7" s="207">
        <f>'Звіт   4,5,6'!Q39</f>
        <v>0</v>
      </c>
    </row>
    <row r="8" spans="1:17" ht="33.75" customHeight="1" x14ac:dyDescent="0.35">
      <c r="A8" s="402" t="s">
        <v>166</v>
      </c>
      <c r="B8" s="826" t="s">
        <v>1055</v>
      </c>
      <c r="C8" s="48">
        <f>'Звіт   4,5,6'!D40</f>
        <v>0</v>
      </c>
      <c r="D8" s="48">
        <f>'Звіт   4,5,6'!E40</f>
        <v>3761579</v>
      </c>
      <c r="E8" s="838">
        <f t="shared" si="0"/>
        <v>11.399197481834852</v>
      </c>
      <c r="F8" s="207">
        <f>'Звіт   4,5,6'!F40</f>
        <v>0</v>
      </c>
      <c r="G8" s="207">
        <f>'Звіт   4,5,6'!G40</f>
        <v>3427236</v>
      </c>
      <c r="H8" s="207">
        <f>'Звіт   4,5,6'!H40</f>
        <v>0</v>
      </c>
      <c r="I8" s="207">
        <f>'Звіт   4,5,6'!I40</f>
        <v>0</v>
      </c>
      <c r="J8" s="207">
        <f>'Звіт   4,5,6'!J40</f>
        <v>0</v>
      </c>
      <c r="K8" s="207">
        <f>'Звіт   4,5,6'!K40</f>
        <v>334343</v>
      </c>
      <c r="L8" s="207">
        <f>'Звіт   4,5,6'!L40</f>
        <v>0</v>
      </c>
      <c r="M8" s="207">
        <f>'Звіт   4,5,6'!M40</f>
        <v>0</v>
      </c>
      <c r="N8" s="207">
        <f>'Звіт   4,5,6'!N40</f>
        <v>0</v>
      </c>
      <c r="O8" s="207">
        <f>'Звіт   4,5,6'!O40</f>
        <v>0</v>
      </c>
      <c r="P8" s="207">
        <f>'Звіт   4,5,6'!P40</f>
        <v>0</v>
      </c>
      <c r="Q8" s="207">
        <f>'Звіт   4,5,6'!Q40</f>
        <v>0</v>
      </c>
    </row>
    <row r="9" spans="1:17" ht="33.75" customHeight="1" thickBot="1" x14ac:dyDescent="0.4">
      <c r="A9" s="403" t="s">
        <v>167</v>
      </c>
      <c r="B9" s="827" t="s">
        <v>1451</v>
      </c>
      <c r="C9" s="211">
        <f>'Звіт   4,5,6'!D41</f>
        <v>0</v>
      </c>
      <c r="D9" s="211">
        <f>'Звіт   4,5,6'!E41</f>
        <v>0</v>
      </c>
      <c r="E9" s="838">
        <f t="shared" si="0"/>
        <v>0</v>
      </c>
      <c r="F9" s="62">
        <f>'Звіт   4,5,6'!F41</f>
        <v>0</v>
      </c>
      <c r="G9" s="62">
        <f>'Звіт   4,5,6'!G41</f>
        <v>0</v>
      </c>
      <c r="H9" s="404" t="str">
        <f>'Звіт   4,5,6'!H41</f>
        <v>-</v>
      </c>
      <c r="I9" s="404" t="str">
        <f>'Звіт   4,5,6'!I41</f>
        <v>-</v>
      </c>
      <c r="J9" s="62">
        <f>'Звіт   4,5,6'!J41</f>
        <v>0</v>
      </c>
      <c r="K9" s="62">
        <f>'Звіт   4,5,6'!K41</f>
        <v>0</v>
      </c>
      <c r="L9" s="62">
        <f>'Звіт   4,5,6'!L41</f>
        <v>0</v>
      </c>
      <c r="M9" s="62">
        <f>'Звіт   4,5,6'!M41</f>
        <v>0</v>
      </c>
      <c r="N9" s="62">
        <f>'Звіт   4,5,6'!N41</f>
        <v>0</v>
      </c>
      <c r="O9" s="62">
        <f>'Звіт   4,5,6'!O41</f>
        <v>0</v>
      </c>
      <c r="P9" s="62">
        <f>'Звіт   4,5,6'!P41</f>
        <v>0</v>
      </c>
      <c r="Q9" s="62">
        <f>'Звіт   4,5,6'!Q41</f>
        <v>0</v>
      </c>
    </row>
    <row r="10" spans="1:17" ht="33.75" customHeight="1" thickBot="1" x14ac:dyDescent="0.4">
      <c r="A10" s="607" t="s">
        <v>168</v>
      </c>
      <c r="B10" s="828" t="s">
        <v>1056</v>
      </c>
      <c r="C10" s="608">
        <f>'Звіт   4,5,6'!D42</f>
        <v>0</v>
      </c>
      <c r="D10" s="608">
        <f>'Звіт   4,5,6'!E42</f>
        <v>10437606</v>
      </c>
      <c r="E10" s="838">
        <f t="shared" si="0"/>
        <v>31.630422232680569</v>
      </c>
      <c r="F10" s="608">
        <f>'Звіт   4,5,6'!F42</f>
        <v>0</v>
      </c>
      <c r="G10" s="608">
        <f>'Звіт   4,5,6'!G42</f>
        <v>1788578</v>
      </c>
      <c r="H10" s="608">
        <f>'Звіт   4,5,6'!H42</f>
        <v>0</v>
      </c>
      <c r="I10" s="608">
        <f>'Звіт   4,5,6'!I42</f>
        <v>0</v>
      </c>
      <c r="J10" s="608">
        <f>'Звіт   4,5,6'!J42</f>
        <v>0</v>
      </c>
      <c r="K10" s="608">
        <f>'Звіт   4,5,6'!K42</f>
        <v>0</v>
      </c>
      <c r="L10" s="608">
        <f>'Звіт   4,5,6'!L42</f>
        <v>0</v>
      </c>
      <c r="M10" s="608">
        <f>'Звіт   4,5,6'!M42</f>
        <v>0</v>
      </c>
      <c r="N10" s="608">
        <f>'Звіт   4,5,6'!N42</f>
        <v>0</v>
      </c>
      <c r="O10" s="608">
        <f>'Звіт   4,5,6'!O42</f>
        <v>8649028</v>
      </c>
      <c r="P10" s="608">
        <f>'Звіт   4,5,6'!P42</f>
        <v>0</v>
      </c>
      <c r="Q10" s="608">
        <f>'Звіт   4,5,6'!Q42</f>
        <v>0</v>
      </c>
    </row>
    <row r="11" spans="1:17" ht="33.75" customHeight="1" x14ac:dyDescent="0.35">
      <c r="A11" s="610" t="s">
        <v>169</v>
      </c>
      <c r="B11" s="829" t="s">
        <v>1057</v>
      </c>
      <c r="C11" s="209">
        <f>'Звіт   4,5,6'!D43</f>
        <v>0</v>
      </c>
      <c r="D11" s="209">
        <f>'Звіт   4,5,6'!E43</f>
        <v>6851801</v>
      </c>
      <c r="E11" s="838">
        <f t="shared" si="0"/>
        <v>20.763895349594815</v>
      </c>
      <c r="F11" s="209">
        <f>'Звіт   4,5,6'!F43</f>
        <v>0</v>
      </c>
      <c r="G11" s="209">
        <f>'Звіт   4,5,6'!G43</f>
        <v>1069167</v>
      </c>
      <c r="H11" s="209">
        <f>'Звіт   4,5,6'!H43</f>
        <v>0</v>
      </c>
      <c r="I11" s="209">
        <f>'Звіт   4,5,6'!I43</f>
        <v>0</v>
      </c>
      <c r="J11" s="611">
        <f>'Звіт   4,5,6'!J43</f>
        <v>0</v>
      </c>
      <c r="K11" s="611">
        <f>'Звіт   4,5,6'!K43</f>
        <v>0</v>
      </c>
      <c r="L11" s="611">
        <f>'Звіт   4,5,6'!L43</f>
        <v>0</v>
      </c>
      <c r="M11" s="611">
        <f>'Звіт   4,5,6'!M43</f>
        <v>0</v>
      </c>
      <c r="N11" s="209">
        <f>'Звіт   4,5,6'!N43</f>
        <v>0</v>
      </c>
      <c r="O11" s="209">
        <f>'Звіт   4,5,6'!O43</f>
        <v>5782634</v>
      </c>
      <c r="P11" s="611">
        <f>'Звіт   4,5,6'!P43</f>
        <v>0</v>
      </c>
      <c r="Q11" s="611">
        <f>'Звіт   4,5,6'!Q43</f>
        <v>0</v>
      </c>
    </row>
    <row r="12" spans="1:17" ht="33.75" customHeight="1" x14ac:dyDescent="0.35">
      <c r="A12" s="651" t="s">
        <v>170</v>
      </c>
      <c r="B12" s="830" t="s">
        <v>1452</v>
      </c>
      <c r="C12" s="48">
        <f>'Звіт   4,5,6'!D44</f>
        <v>0</v>
      </c>
      <c r="D12" s="48">
        <f>'Звіт   4,5,6'!E44</f>
        <v>6720716</v>
      </c>
      <c r="E12" s="838">
        <f t="shared" si="0"/>
        <v>20.366651585232479</v>
      </c>
      <c r="F12" s="58">
        <f>'Звіт   4,5,6'!F44</f>
        <v>0</v>
      </c>
      <c r="G12" s="58">
        <f>'Звіт   4,5,6'!G44</f>
        <v>954059</v>
      </c>
      <c r="H12" s="58">
        <f>'Звіт   4,5,6'!H44</f>
        <v>0</v>
      </c>
      <c r="I12" s="58">
        <f>'Звіт   4,5,6'!I44</f>
        <v>0</v>
      </c>
      <c r="J12" s="204" t="str">
        <f>'Звіт   4,5,6'!J44</f>
        <v>-</v>
      </c>
      <c r="K12" s="204" t="str">
        <f>'Звіт   4,5,6'!K44</f>
        <v>-</v>
      </c>
      <c r="L12" s="204" t="str">
        <f>'Звіт   4,5,6'!L44</f>
        <v>-</v>
      </c>
      <c r="M12" s="204" t="str">
        <f>'Звіт   4,5,6'!M44</f>
        <v>-</v>
      </c>
      <c r="N12" s="58">
        <f>'Звіт   4,5,6'!N44</f>
        <v>0</v>
      </c>
      <c r="O12" s="58">
        <f>'Звіт   4,5,6'!O44</f>
        <v>5766657</v>
      </c>
      <c r="P12" s="204" t="str">
        <f>'Звіт   4,5,6'!P44</f>
        <v>-</v>
      </c>
      <c r="Q12" s="204" t="str">
        <f>'Звіт   4,5,6'!Q44</f>
        <v>-</v>
      </c>
    </row>
    <row r="13" spans="1:17" ht="33.75" customHeight="1" x14ac:dyDescent="0.35">
      <c r="A13" s="651" t="s">
        <v>171</v>
      </c>
      <c r="B13" s="830" t="s">
        <v>1453</v>
      </c>
      <c r="C13" s="48">
        <f>'Звіт   4,5,6'!D45</f>
        <v>0</v>
      </c>
      <c r="D13" s="48">
        <f>'Звіт   4,5,6'!E45</f>
        <v>47122</v>
      </c>
      <c r="E13" s="838">
        <f t="shared" si="0"/>
        <v>0.14279986775208547</v>
      </c>
      <c r="F13" s="58">
        <f>'Звіт   4,5,6'!F45</f>
        <v>0</v>
      </c>
      <c r="G13" s="58">
        <f>'Звіт   4,5,6'!G45</f>
        <v>31145</v>
      </c>
      <c r="H13" s="58">
        <f>'Звіт   4,5,6'!H45</f>
        <v>0</v>
      </c>
      <c r="I13" s="58">
        <f>'Звіт   4,5,6'!I45</f>
        <v>0</v>
      </c>
      <c r="J13" s="204">
        <f>'Звіт   4,5,6'!J45</f>
        <v>0</v>
      </c>
      <c r="K13" s="204">
        <f>'Звіт   4,5,6'!K45</f>
        <v>0</v>
      </c>
      <c r="L13" s="204">
        <f>'Звіт   4,5,6'!L45</f>
        <v>0</v>
      </c>
      <c r="M13" s="204">
        <f>'Звіт   4,5,6'!M45</f>
        <v>0</v>
      </c>
      <c r="N13" s="58">
        <f>'Звіт   4,5,6'!N45</f>
        <v>0</v>
      </c>
      <c r="O13" s="58">
        <f>'Звіт   4,5,6'!O45</f>
        <v>15977</v>
      </c>
      <c r="P13" s="204">
        <f>'Звіт   4,5,6'!P45</f>
        <v>0</v>
      </c>
      <c r="Q13" s="204">
        <f>'Звіт   4,5,6'!Q45</f>
        <v>0</v>
      </c>
    </row>
    <row r="14" spans="1:17" ht="33.75" customHeight="1" x14ac:dyDescent="0.35">
      <c r="A14" s="651" t="s">
        <v>172</v>
      </c>
      <c r="B14" s="830" t="s">
        <v>1454</v>
      </c>
      <c r="C14" s="48">
        <f>'Звіт   4,5,6'!D46</f>
        <v>0</v>
      </c>
      <c r="D14" s="48">
        <f>'Звіт   4,5,6'!E46</f>
        <v>0</v>
      </c>
      <c r="E14" s="838">
        <f t="shared" si="0"/>
        <v>0</v>
      </c>
      <c r="F14" s="58">
        <f>'Звіт   4,5,6'!F46</f>
        <v>0</v>
      </c>
      <c r="G14" s="58">
        <f>'Звіт   4,5,6'!G46</f>
        <v>0</v>
      </c>
      <c r="H14" s="58">
        <f>'Звіт   4,5,6'!H46</f>
        <v>0</v>
      </c>
      <c r="I14" s="58">
        <f>'Звіт   4,5,6'!I46</f>
        <v>0</v>
      </c>
      <c r="J14" s="204" t="str">
        <f>'Звіт   4,5,6'!J46</f>
        <v>-</v>
      </c>
      <c r="K14" s="204" t="str">
        <f>'Звіт   4,5,6'!K46</f>
        <v>-</v>
      </c>
      <c r="L14" s="204" t="str">
        <f>'Звіт   4,5,6'!L46</f>
        <v>-</v>
      </c>
      <c r="M14" s="204" t="str">
        <f>'Звіт   4,5,6'!M46</f>
        <v>-</v>
      </c>
      <c r="N14" s="58">
        <f>'Звіт   4,5,6'!N46</f>
        <v>0</v>
      </c>
      <c r="O14" s="58">
        <f>'Звіт   4,5,6'!O46</f>
        <v>0</v>
      </c>
      <c r="P14" s="204" t="str">
        <f>'Звіт   4,5,6'!P46</f>
        <v>-</v>
      </c>
      <c r="Q14" s="204" t="str">
        <f>'Звіт   4,5,6'!Q46</f>
        <v>-</v>
      </c>
    </row>
    <row r="15" spans="1:17" ht="33.75" customHeight="1" x14ac:dyDescent="0.35">
      <c r="A15" s="651" t="s">
        <v>173</v>
      </c>
      <c r="B15" s="830" t="s">
        <v>1455</v>
      </c>
      <c r="C15" s="48">
        <f>'Звіт   4,5,6'!D47</f>
        <v>0</v>
      </c>
      <c r="D15" s="48">
        <f>'Звіт   4,5,6'!E47</f>
        <v>0</v>
      </c>
      <c r="E15" s="838">
        <f t="shared" si="0"/>
        <v>0</v>
      </c>
      <c r="F15" s="58">
        <f>'Звіт   4,5,6'!F47</f>
        <v>0</v>
      </c>
      <c r="G15" s="58">
        <f>'Звіт   4,5,6'!G47</f>
        <v>0</v>
      </c>
      <c r="H15" s="58">
        <f>'Звіт   4,5,6'!H47</f>
        <v>0</v>
      </c>
      <c r="I15" s="58">
        <f>'Звіт   4,5,6'!I47</f>
        <v>0</v>
      </c>
      <c r="J15" s="204" t="str">
        <f>'Звіт   4,5,6'!J47</f>
        <v>-</v>
      </c>
      <c r="K15" s="204" t="str">
        <f>'Звіт   4,5,6'!K47</f>
        <v>-</v>
      </c>
      <c r="L15" s="204" t="str">
        <f>'Звіт   4,5,6'!L47</f>
        <v>-</v>
      </c>
      <c r="M15" s="204" t="str">
        <f>'Звіт   4,5,6'!M47</f>
        <v>-</v>
      </c>
      <c r="N15" s="58">
        <f>'Звіт   4,5,6'!N47</f>
        <v>0</v>
      </c>
      <c r="O15" s="58">
        <f>'Звіт   4,5,6'!O47</f>
        <v>0</v>
      </c>
      <c r="P15" s="204" t="str">
        <f>'Звіт   4,5,6'!P47</f>
        <v>-</v>
      </c>
      <c r="Q15" s="204" t="str">
        <f>'Звіт   4,5,6'!Q47</f>
        <v>-</v>
      </c>
    </row>
    <row r="16" spans="1:17" ht="33.75" customHeight="1" x14ac:dyDescent="0.35">
      <c r="A16" s="651" t="s">
        <v>338</v>
      </c>
      <c r="B16" s="830" t="s">
        <v>1456</v>
      </c>
      <c r="C16" s="48">
        <f>'Звіт   4,5,6'!D48</f>
        <v>0</v>
      </c>
      <c r="D16" s="48">
        <f>'Звіт   4,5,6'!E48</f>
        <v>0</v>
      </c>
      <c r="E16" s="838">
        <f t="shared" si="0"/>
        <v>0</v>
      </c>
      <c r="F16" s="58">
        <f>'Звіт   4,5,6'!F48</f>
        <v>0</v>
      </c>
      <c r="G16" s="58">
        <f>'Звіт   4,5,6'!G48</f>
        <v>0</v>
      </c>
      <c r="H16" s="58">
        <f>'Звіт   4,5,6'!H48</f>
        <v>0</v>
      </c>
      <c r="I16" s="58">
        <f>'Звіт   4,5,6'!I48</f>
        <v>0</v>
      </c>
      <c r="J16" s="204" t="str">
        <f>'Звіт   4,5,6'!J48</f>
        <v>-</v>
      </c>
      <c r="K16" s="204" t="str">
        <f>'Звіт   4,5,6'!K48</f>
        <v>-</v>
      </c>
      <c r="L16" s="204" t="str">
        <f>'Звіт   4,5,6'!L48</f>
        <v>-</v>
      </c>
      <c r="M16" s="204" t="str">
        <f>'Звіт   4,5,6'!M48</f>
        <v>-</v>
      </c>
      <c r="N16" s="58">
        <f>'Звіт   4,5,6'!N48</f>
        <v>0</v>
      </c>
      <c r="O16" s="58">
        <f>'Звіт   4,5,6'!O48</f>
        <v>0</v>
      </c>
      <c r="P16" s="204" t="str">
        <f>'Звіт   4,5,6'!P48</f>
        <v>-</v>
      </c>
      <c r="Q16" s="204" t="str">
        <f>'Звіт   4,5,6'!Q48</f>
        <v>-</v>
      </c>
    </row>
    <row r="17" spans="1:17" ht="33.75" customHeight="1" thickBot="1" x14ac:dyDescent="0.4">
      <c r="A17" s="654" t="s">
        <v>1201</v>
      </c>
      <c r="B17" s="831" t="s">
        <v>1457</v>
      </c>
      <c r="C17" s="211">
        <f>'Звіт   4,5,6'!D49</f>
        <v>0</v>
      </c>
      <c r="D17" s="211">
        <f>'Звіт   4,5,6'!E49</f>
        <v>83963</v>
      </c>
      <c r="E17" s="838">
        <f t="shared" si="0"/>
        <v>0.25444389661025324</v>
      </c>
      <c r="F17" s="62">
        <f>'Звіт   4,5,6'!F49</f>
        <v>0</v>
      </c>
      <c r="G17" s="62">
        <f>'Звіт   4,5,6'!G49</f>
        <v>83963</v>
      </c>
      <c r="H17" s="62">
        <f>'Звіт   4,5,6'!H49</f>
        <v>0</v>
      </c>
      <c r="I17" s="62">
        <f>'Звіт   4,5,6'!I49</f>
        <v>0</v>
      </c>
      <c r="J17" s="404">
        <f>'Звіт   4,5,6'!J49</f>
        <v>0</v>
      </c>
      <c r="K17" s="404">
        <f>'Звіт   4,5,6'!K49</f>
        <v>0</v>
      </c>
      <c r="L17" s="404">
        <f>'Звіт   4,5,6'!L49</f>
        <v>0</v>
      </c>
      <c r="M17" s="404">
        <f>'Звіт   4,5,6'!M49</f>
        <v>0</v>
      </c>
      <c r="N17" s="58">
        <f>'Звіт   4,5,6'!N49</f>
        <v>0</v>
      </c>
      <c r="O17" s="58">
        <f>'Звіт   4,5,6'!O49</f>
        <v>0</v>
      </c>
      <c r="P17" s="404">
        <f>'Звіт   4,5,6'!P49</f>
        <v>0</v>
      </c>
      <c r="Q17" s="404">
        <f>'Звіт   4,5,6'!Q49</f>
        <v>0</v>
      </c>
    </row>
    <row r="18" spans="1:17" ht="33.75" customHeight="1" x14ac:dyDescent="0.35">
      <c r="A18" s="398" t="s">
        <v>175</v>
      </c>
      <c r="B18" s="832" t="s">
        <v>1458</v>
      </c>
      <c r="C18" s="350">
        <f>'Звіт   4,5,6'!D50</f>
        <v>0</v>
      </c>
      <c r="D18" s="350">
        <f>'Звіт   4,5,6'!E50</f>
        <v>439154</v>
      </c>
      <c r="E18" s="838">
        <f t="shared" si="0"/>
        <v>1.3308249463689856</v>
      </c>
      <c r="F18" s="609">
        <f>'Звіт   4,5,6'!F50</f>
        <v>0</v>
      </c>
      <c r="G18" s="609">
        <f>'Звіт   4,5,6'!G50</f>
        <v>79973</v>
      </c>
      <c r="H18" s="381" t="str">
        <f>'Звіт   4,5,6'!H50</f>
        <v>-</v>
      </c>
      <c r="I18" s="381" t="str">
        <f>'Звіт   4,5,6'!I50</f>
        <v>-</v>
      </c>
      <c r="J18" s="609">
        <f>'Звіт   4,5,6'!J50</f>
        <v>0</v>
      </c>
      <c r="K18" s="609">
        <f>'Звіт   4,5,6'!K50</f>
        <v>0</v>
      </c>
      <c r="L18" s="609">
        <f>'Звіт   4,5,6'!L50</f>
        <v>0</v>
      </c>
      <c r="M18" s="609">
        <f>'Звіт   4,5,6'!M50</f>
        <v>0</v>
      </c>
      <c r="N18" s="58">
        <f>'Звіт   4,5,6'!N50</f>
        <v>0</v>
      </c>
      <c r="O18" s="58">
        <f>'Звіт   4,5,6'!O50</f>
        <v>359181</v>
      </c>
      <c r="P18" s="609">
        <f>'Звіт   4,5,6'!P50</f>
        <v>0</v>
      </c>
      <c r="Q18" s="609">
        <f>'Звіт   4,5,6'!Q50</f>
        <v>0</v>
      </c>
    </row>
    <row r="19" spans="1:17" ht="33.75" customHeight="1" x14ac:dyDescent="0.35">
      <c r="A19" s="651" t="s">
        <v>176</v>
      </c>
      <c r="B19" s="652" t="s">
        <v>1058</v>
      </c>
      <c r="C19" s="350">
        <f>'Звіт   4,5,6'!D51</f>
        <v>0</v>
      </c>
      <c r="D19" s="350">
        <f>'Звіт   4,5,6'!E51</f>
        <v>621073</v>
      </c>
      <c r="E19" s="838">
        <f t="shared" si="0"/>
        <v>1.8821175303338351</v>
      </c>
      <c r="F19" s="609">
        <f>'Звіт   4,5,6'!F51</f>
        <v>0</v>
      </c>
      <c r="G19" s="609">
        <f>'Звіт   4,5,6'!G51</f>
        <v>612144</v>
      </c>
      <c r="H19" s="381" t="str">
        <f>'Звіт   4,5,6'!H51</f>
        <v>-</v>
      </c>
      <c r="I19" s="381" t="str">
        <f>'Звіт   4,5,6'!I51</f>
        <v>-</v>
      </c>
      <c r="J19" s="609">
        <f>'Звіт   4,5,6'!J51</f>
        <v>0</v>
      </c>
      <c r="K19" s="609">
        <f>'Звіт   4,5,6'!K51</f>
        <v>0</v>
      </c>
      <c r="L19" s="609">
        <f>'Звіт   4,5,6'!L51</f>
        <v>0</v>
      </c>
      <c r="M19" s="609">
        <f>'Звіт   4,5,6'!M51</f>
        <v>0</v>
      </c>
      <c r="N19" s="58">
        <f>'Звіт   4,5,6'!N51</f>
        <v>0</v>
      </c>
      <c r="O19" s="58">
        <f>'Звіт   4,5,6'!O51</f>
        <v>8929</v>
      </c>
      <c r="P19" s="609">
        <f>'Звіт   4,5,6'!P51</f>
        <v>0</v>
      </c>
      <c r="Q19" s="609">
        <f>'Звіт   4,5,6'!Q51</f>
        <v>0</v>
      </c>
    </row>
    <row r="20" spans="1:17" ht="33.75" customHeight="1" x14ac:dyDescent="0.35">
      <c r="A20" s="651" t="s">
        <v>177</v>
      </c>
      <c r="B20" s="652" t="s">
        <v>1459</v>
      </c>
      <c r="C20" s="48">
        <f>'Звіт   4,5,6'!D52</f>
        <v>0</v>
      </c>
      <c r="D20" s="48">
        <f>'Звіт   4,5,6'!E52</f>
        <v>0</v>
      </c>
      <c r="E20" s="838">
        <f t="shared" si="0"/>
        <v>0</v>
      </c>
      <c r="F20" s="58">
        <f>'Звіт   4,5,6'!F52</f>
        <v>0</v>
      </c>
      <c r="G20" s="609">
        <f>'Звіт   4,5,6'!G52</f>
        <v>0</v>
      </c>
      <c r="H20" s="58">
        <f>'Звіт   4,5,6'!H52</f>
        <v>0</v>
      </c>
      <c r="I20" s="58">
        <f>'Звіт   4,5,6'!I52</f>
        <v>0</v>
      </c>
      <c r="J20" s="58">
        <f>'Звіт   4,5,6'!J52</f>
        <v>0</v>
      </c>
      <c r="K20" s="58">
        <f>'Звіт   4,5,6'!K52</f>
        <v>0</v>
      </c>
      <c r="L20" s="58">
        <f>'Звіт   4,5,6'!L52</f>
        <v>0</v>
      </c>
      <c r="M20" s="58">
        <f>'Звіт   4,5,6'!M52</f>
        <v>0</v>
      </c>
      <c r="N20" s="58">
        <f>'Звіт   4,5,6'!N52</f>
        <v>0</v>
      </c>
      <c r="O20" s="58">
        <f>'Звіт   4,5,6'!O52</f>
        <v>0</v>
      </c>
      <c r="P20" s="58">
        <f>'Звіт   4,5,6'!P52</f>
        <v>0</v>
      </c>
      <c r="Q20" s="58">
        <f>'Звіт   4,5,6'!Q52</f>
        <v>0</v>
      </c>
    </row>
    <row r="21" spans="1:17" ht="33.75" customHeight="1" x14ac:dyDescent="0.35">
      <c r="A21" s="651" t="s">
        <v>178</v>
      </c>
      <c r="B21" s="652" t="s">
        <v>1460</v>
      </c>
      <c r="C21" s="48">
        <f>'Звіт   4,5,6'!D53</f>
        <v>0</v>
      </c>
      <c r="D21" s="48">
        <f>'Звіт   4,5,6'!E53</f>
        <v>4038</v>
      </c>
      <c r="E21" s="838">
        <f t="shared" si="0"/>
        <v>1.2236871651944339E-2</v>
      </c>
      <c r="F21" s="58">
        <f>'Звіт   4,5,6'!F53</f>
        <v>0</v>
      </c>
      <c r="G21" s="58">
        <f>'Звіт   4,5,6'!G53</f>
        <v>0</v>
      </c>
      <c r="H21" s="656" t="str">
        <f>'Звіт   4,5,6'!H53</f>
        <v>-</v>
      </c>
      <c r="I21" s="656" t="str">
        <f>'Звіт   4,5,6'!I53</f>
        <v>-</v>
      </c>
      <c r="J21" s="58">
        <f>'Звіт   4,5,6'!J53</f>
        <v>0</v>
      </c>
      <c r="K21" s="58">
        <f>'Звіт   4,5,6'!K53</f>
        <v>0</v>
      </c>
      <c r="L21" s="58">
        <f>'Звіт   4,5,6'!L53</f>
        <v>0</v>
      </c>
      <c r="M21" s="58">
        <f>'Звіт   4,5,6'!M53</f>
        <v>0</v>
      </c>
      <c r="N21" s="58">
        <f>'Звіт   4,5,6'!N53</f>
        <v>0</v>
      </c>
      <c r="O21" s="58">
        <f>'Звіт   4,5,6'!O53</f>
        <v>4038</v>
      </c>
      <c r="P21" s="58">
        <f>'Звіт   4,5,6'!P53</f>
        <v>0</v>
      </c>
      <c r="Q21" s="58">
        <f>'Звіт   4,5,6'!Q53</f>
        <v>0</v>
      </c>
    </row>
    <row r="22" spans="1:17" ht="33.75" customHeight="1" x14ac:dyDescent="0.35">
      <c r="A22" s="651" t="s">
        <v>179</v>
      </c>
      <c r="B22" s="652" t="s">
        <v>1461</v>
      </c>
      <c r="C22" s="48">
        <f>'Звіт   4,5,6'!D54</f>
        <v>0</v>
      </c>
      <c r="D22" s="48">
        <f>'Звіт   4,5,6'!E54</f>
        <v>51802</v>
      </c>
      <c r="E22" s="838">
        <f t="shared" si="0"/>
        <v>0.15698227471867771</v>
      </c>
      <c r="F22" s="58">
        <f>'Звіт   4,5,6'!F54</f>
        <v>0</v>
      </c>
      <c r="G22" s="58">
        <f>'Звіт   4,5,6'!G54</f>
        <v>27294</v>
      </c>
      <c r="H22" s="58">
        <f>'Звіт   4,5,6'!H54</f>
        <v>0</v>
      </c>
      <c r="I22" s="58">
        <f>'Звіт   4,5,6'!I54</f>
        <v>0</v>
      </c>
      <c r="J22" s="58">
        <f>'Звіт   4,5,6'!J54</f>
        <v>0</v>
      </c>
      <c r="K22" s="58">
        <f>'Звіт   4,5,6'!K54</f>
        <v>0</v>
      </c>
      <c r="L22" s="58">
        <f>'Звіт   4,5,6'!L54</f>
        <v>0</v>
      </c>
      <c r="M22" s="58">
        <f>'Звіт   4,5,6'!M54</f>
        <v>0</v>
      </c>
      <c r="N22" s="58">
        <f>'Звіт   4,5,6'!N54</f>
        <v>0</v>
      </c>
      <c r="O22" s="58">
        <f>'Звіт   4,5,6'!O54</f>
        <v>24508</v>
      </c>
      <c r="P22" s="58">
        <f>'Звіт   4,5,6'!P54</f>
        <v>0</v>
      </c>
      <c r="Q22" s="58">
        <f>'Звіт   4,5,6'!Q54</f>
        <v>0</v>
      </c>
    </row>
    <row r="23" spans="1:17" ht="33.75" customHeight="1" x14ac:dyDescent="0.35">
      <c r="A23" s="651" t="s">
        <v>180</v>
      </c>
      <c r="B23" s="825" t="s">
        <v>1462</v>
      </c>
      <c r="C23" s="48">
        <f>'Звіт   4,5,6'!D55</f>
        <v>0</v>
      </c>
      <c r="D23" s="48">
        <f>'Звіт   4,5,6'!E55</f>
        <v>2456324</v>
      </c>
      <c r="E23" s="838">
        <f t="shared" si="0"/>
        <v>7.4437150875657565</v>
      </c>
      <c r="F23" s="58">
        <f>'Звіт   4,5,6'!F55</f>
        <v>0</v>
      </c>
      <c r="G23" s="58">
        <f>'Звіт   4,5,6'!G55</f>
        <v>0</v>
      </c>
      <c r="H23" s="58">
        <f>'Звіт   4,5,6'!H55</f>
        <v>0</v>
      </c>
      <c r="I23" s="58">
        <f>'Звіт   4,5,6'!I55</f>
        <v>0</v>
      </c>
      <c r="J23" s="58">
        <f>'Звіт   4,5,6'!J55</f>
        <v>0</v>
      </c>
      <c r="K23" s="58">
        <f>'Звіт   4,5,6'!K55</f>
        <v>0</v>
      </c>
      <c r="L23" s="58">
        <f>'Звіт   4,5,6'!L55</f>
        <v>0</v>
      </c>
      <c r="M23" s="58">
        <f>'Звіт   4,5,6'!M55</f>
        <v>0</v>
      </c>
      <c r="N23" s="58">
        <f>'Звіт   4,5,6'!N55</f>
        <v>0</v>
      </c>
      <c r="O23" s="58">
        <f>'Звіт   4,5,6'!O55</f>
        <v>2456324</v>
      </c>
      <c r="P23" s="58">
        <f>'Звіт   4,5,6'!P55</f>
        <v>0</v>
      </c>
      <c r="Q23" s="58">
        <f>'Звіт   4,5,6'!Q55</f>
        <v>0</v>
      </c>
    </row>
    <row r="24" spans="1:17" ht="33.75" customHeight="1" x14ac:dyDescent="0.35">
      <c r="A24" s="651" t="s">
        <v>181</v>
      </c>
      <c r="B24" s="652" t="s">
        <v>1463</v>
      </c>
      <c r="C24" s="48">
        <f>'Звіт   4,5,6'!D56</f>
        <v>0</v>
      </c>
      <c r="D24" s="48">
        <f>'Звіт   4,5,6'!E56</f>
        <v>0</v>
      </c>
      <c r="E24" s="838">
        <f t="shared" si="0"/>
        <v>0</v>
      </c>
      <c r="F24" s="58">
        <f>'Звіт   4,5,6'!F56</f>
        <v>0</v>
      </c>
      <c r="G24" s="58">
        <f>'Звіт   4,5,6'!G56</f>
        <v>0</v>
      </c>
      <c r="H24" s="656" t="str">
        <f>'Звіт   4,5,6'!H56</f>
        <v>-</v>
      </c>
      <c r="I24" s="656" t="str">
        <f>'Звіт   4,5,6'!I56</f>
        <v>-</v>
      </c>
      <c r="J24" s="58">
        <f>'Звіт   4,5,6'!J56</f>
        <v>0</v>
      </c>
      <c r="K24" s="58">
        <f>'Звіт   4,5,6'!K56</f>
        <v>0</v>
      </c>
      <c r="L24" s="58">
        <f>'Звіт   4,5,6'!L56</f>
        <v>0</v>
      </c>
      <c r="M24" s="58">
        <f>'Звіт   4,5,6'!M56</f>
        <v>0</v>
      </c>
      <c r="N24" s="58">
        <f>'Звіт   4,5,6'!N56</f>
        <v>0</v>
      </c>
      <c r="O24" s="58">
        <f>'Звіт   4,5,6'!O56</f>
        <v>0</v>
      </c>
      <c r="P24" s="58">
        <f>'Звіт   4,5,6'!P56</f>
        <v>0</v>
      </c>
      <c r="Q24" s="58">
        <f>'Звіт   4,5,6'!Q56</f>
        <v>0</v>
      </c>
    </row>
    <row r="25" spans="1:17" ht="33.75" customHeight="1" x14ac:dyDescent="0.35">
      <c r="A25" s="651" t="s">
        <v>1202</v>
      </c>
      <c r="B25" s="652" t="s">
        <v>1464</v>
      </c>
      <c r="C25" s="48">
        <f>'Звіт   4,5,6'!D57</f>
        <v>0</v>
      </c>
      <c r="D25" s="48">
        <f>'Звіт   4,5,6'!E57</f>
        <v>13414</v>
      </c>
      <c r="E25" s="838">
        <f t="shared" si="0"/>
        <v>4.0650172446553084E-2</v>
      </c>
      <c r="F25" s="58">
        <f>'Звіт   4,5,6'!F57</f>
        <v>0</v>
      </c>
      <c r="G25" s="58">
        <f>'Звіт   4,5,6'!G57</f>
        <v>0</v>
      </c>
      <c r="H25" s="656" t="str">
        <f>'Звіт   4,5,6'!H57</f>
        <v>-</v>
      </c>
      <c r="I25" s="656" t="str">
        <f>'Звіт   4,5,6'!I57</f>
        <v>-</v>
      </c>
      <c r="J25" s="58">
        <f>'Звіт   4,5,6'!J57</f>
        <v>0</v>
      </c>
      <c r="K25" s="58">
        <f>'Звіт   4,5,6'!K57</f>
        <v>0</v>
      </c>
      <c r="L25" s="58">
        <f>'Звіт   4,5,6'!L57</f>
        <v>0</v>
      </c>
      <c r="M25" s="58">
        <f>'Звіт   4,5,6'!M57</f>
        <v>0</v>
      </c>
      <c r="N25" s="58">
        <f>'Звіт   4,5,6'!N57</f>
        <v>0</v>
      </c>
      <c r="O25" s="58">
        <f>'Звіт   4,5,6'!O57</f>
        <v>13414</v>
      </c>
      <c r="P25" s="58">
        <f>'Звіт   4,5,6'!P57</f>
        <v>0</v>
      </c>
      <c r="Q25" s="58">
        <f>'Звіт   4,5,6'!Q57</f>
        <v>0</v>
      </c>
    </row>
    <row r="26" spans="1:17" ht="33.75" customHeight="1" x14ac:dyDescent="0.35">
      <c r="A26" s="398" t="s">
        <v>182</v>
      </c>
      <c r="B26" s="646" t="s">
        <v>1465</v>
      </c>
      <c r="C26" s="350">
        <f>'Звіт   4,5,6'!D58</f>
        <v>0</v>
      </c>
      <c r="D26" s="350">
        <f>'Звіт   4,5,6'!E58</f>
        <v>0</v>
      </c>
      <c r="E26" s="838">
        <f t="shared" si="0"/>
        <v>0</v>
      </c>
      <c r="F26" s="350">
        <f>'Звіт   4,5,6'!F58</f>
        <v>0</v>
      </c>
      <c r="G26" s="350">
        <f>'Звіт   4,5,6'!G58</f>
        <v>0</v>
      </c>
      <c r="H26" s="381" t="str">
        <f>'Звіт   4,5,6'!H58</f>
        <v>-</v>
      </c>
      <c r="I26" s="381" t="str">
        <f>'Звіт   4,5,6'!I58</f>
        <v>-</v>
      </c>
      <c r="J26" s="350">
        <f>'Звіт   4,5,6'!J58</f>
        <v>0</v>
      </c>
      <c r="K26" s="350">
        <f>'Звіт   4,5,6'!K58</f>
        <v>0</v>
      </c>
      <c r="L26" s="350">
        <f>'Звіт   4,5,6'!L58</f>
        <v>0</v>
      </c>
      <c r="M26" s="350">
        <f>'Звіт   4,5,6'!M58</f>
        <v>0</v>
      </c>
      <c r="N26" s="350">
        <f>'Звіт   4,5,6'!N58</f>
        <v>0</v>
      </c>
      <c r="O26" s="350">
        <f>'Звіт   4,5,6'!O58</f>
        <v>0</v>
      </c>
      <c r="P26" s="350">
        <f>'Звіт   4,5,6'!P58</f>
        <v>0</v>
      </c>
      <c r="Q26" s="350">
        <f>'Звіт   4,5,6'!Q58</f>
        <v>0</v>
      </c>
    </row>
    <row r="27" spans="1:17" ht="33.75" customHeight="1" x14ac:dyDescent="0.35">
      <c r="A27" s="651" t="s">
        <v>1203</v>
      </c>
      <c r="B27" s="830" t="s">
        <v>1466</v>
      </c>
      <c r="C27" s="48">
        <f>'Звіт   4,5,6'!D59</f>
        <v>0</v>
      </c>
      <c r="D27" s="48">
        <f>'Звіт   4,5,6'!E59</f>
        <v>0</v>
      </c>
      <c r="E27" s="838">
        <f t="shared" si="0"/>
        <v>0</v>
      </c>
      <c r="F27" s="207">
        <f>'Звіт   4,5,6'!F59</f>
        <v>0</v>
      </c>
      <c r="G27" s="207">
        <f>'Звіт   4,5,6'!G59</f>
        <v>0</v>
      </c>
      <c r="H27" s="656" t="str">
        <f>'Звіт   4,5,6'!H59</f>
        <v>-</v>
      </c>
      <c r="I27" s="656" t="str">
        <f>'Звіт   4,5,6'!I59</f>
        <v>-</v>
      </c>
      <c r="J27" s="340" t="str">
        <f>'Звіт   4,5,6'!J59</f>
        <v>-</v>
      </c>
      <c r="K27" s="340" t="str">
        <f>'Звіт   4,5,6'!K59</f>
        <v>-</v>
      </c>
      <c r="L27" s="340" t="str">
        <f>'Звіт   4,5,6'!L59</f>
        <v>-</v>
      </c>
      <c r="M27" s="340" t="str">
        <f>'Звіт   4,5,6'!M59</f>
        <v>-</v>
      </c>
      <c r="N27" s="207">
        <f>'Звіт   4,5,6'!N59</f>
        <v>0</v>
      </c>
      <c r="O27" s="207">
        <f>'Звіт   4,5,6'!O59</f>
        <v>0</v>
      </c>
      <c r="P27" s="207">
        <f>'Звіт   4,5,6'!P59</f>
        <v>0</v>
      </c>
      <c r="Q27" s="207">
        <f>'Звіт   4,5,6'!Q59</f>
        <v>0</v>
      </c>
    </row>
    <row r="28" spans="1:17" ht="33.75" customHeight="1" x14ac:dyDescent="0.35">
      <c r="A28" s="651" t="s">
        <v>1204</v>
      </c>
      <c r="B28" s="830" t="s">
        <v>1467</v>
      </c>
      <c r="C28" s="48">
        <f>'Звіт   4,5,6'!D60</f>
        <v>0</v>
      </c>
      <c r="D28" s="48">
        <f>'Звіт   4,5,6'!E60</f>
        <v>0</v>
      </c>
      <c r="E28" s="838">
        <f t="shared" si="0"/>
        <v>0</v>
      </c>
      <c r="F28" s="207">
        <f>'Звіт   4,5,6'!F60</f>
        <v>0</v>
      </c>
      <c r="G28" s="207">
        <f>'Звіт   4,5,6'!G60</f>
        <v>0</v>
      </c>
      <c r="H28" s="656" t="str">
        <f>'Звіт   4,5,6'!H60</f>
        <v>-</v>
      </c>
      <c r="I28" s="656" t="str">
        <f>'Звіт   4,5,6'!I60</f>
        <v>-</v>
      </c>
      <c r="J28" s="207">
        <f>'Звіт   4,5,6'!J60</f>
        <v>0</v>
      </c>
      <c r="K28" s="207">
        <f>'Звіт   4,5,6'!K60</f>
        <v>0</v>
      </c>
      <c r="L28" s="207">
        <f>'Звіт   4,5,6'!L60</f>
        <v>0</v>
      </c>
      <c r="M28" s="207">
        <f>'Звіт   4,5,6'!M60</f>
        <v>0</v>
      </c>
      <c r="N28" s="207">
        <f>'Звіт   4,5,6'!N60</f>
        <v>0</v>
      </c>
      <c r="O28" s="207">
        <f>'Звіт   4,5,6'!O60</f>
        <v>0</v>
      </c>
      <c r="P28" s="207">
        <f>'Звіт   4,5,6'!P60</f>
        <v>0</v>
      </c>
      <c r="Q28" s="207">
        <f>'Звіт   4,5,6'!Q60</f>
        <v>0</v>
      </c>
    </row>
    <row r="29" spans="1:17" ht="33.75" customHeight="1" x14ac:dyDescent="0.35">
      <c r="A29" s="651" t="s">
        <v>1205</v>
      </c>
      <c r="B29" s="830" t="s">
        <v>1468</v>
      </c>
      <c r="C29" s="48">
        <f>'Звіт   4,5,6'!D61</f>
        <v>0</v>
      </c>
      <c r="D29" s="48">
        <f>'Звіт   4,5,6'!E61</f>
        <v>0</v>
      </c>
      <c r="E29" s="838">
        <f t="shared" si="0"/>
        <v>0</v>
      </c>
      <c r="F29" s="207">
        <f>'Звіт   4,5,6'!F61</f>
        <v>0</v>
      </c>
      <c r="G29" s="207">
        <f>'Звіт   4,5,6'!G61</f>
        <v>0</v>
      </c>
      <c r="H29" s="656" t="str">
        <f>'Звіт   4,5,6'!H61</f>
        <v>-</v>
      </c>
      <c r="I29" s="656" t="str">
        <f>'Звіт   4,5,6'!I61</f>
        <v>-</v>
      </c>
      <c r="J29" s="207">
        <f>'Звіт   4,5,6'!J61</f>
        <v>0</v>
      </c>
      <c r="K29" s="207">
        <f>'Звіт   4,5,6'!K61</f>
        <v>0</v>
      </c>
      <c r="L29" s="207">
        <f>'Звіт   4,5,6'!L61</f>
        <v>0</v>
      </c>
      <c r="M29" s="207">
        <f>'Звіт   4,5,6'!M61</f>
        <v>0</v>
      </c>
      <c r="N29" s="207">
        <f>'Звіт   4,5,6'!N61</f>
        <v>0</v>
      </c>
      <c r="O29" s="207">
        <f>'Звіт   4,5,6'!O61</f>
        <v>0</v>
      </c>
      <c r="P29" s="207">
        <f>'Звіт   4,5,6'!P61</f>
        <v>0</v>
      </c>
      <c r="Q29" s="207">
        <f>'Звіт   4,5,6'!Q61</f>
        <v>0</v>
      </c>
    </row>
    <row r="30" spans="1:17" ht="33.75" customHeight="1" x14ac:dyDescent="0.35">
      <c r="A30" s="651" t="s">
        <v>1206</v>
      </c>
      <c r="B30" s="830" t="s">
        <v>1469</v>
      </c>
      <c r="C30" s="48">
        <f>'Звіт   4,5,6'!D62</f>
        <v>0</v>
      </c>
      <c r="D30" s="48">
        <f>'Звіт   4,5,6'!E62</f>
        <v>0</v>
      </c>
      <c r="E30" s="838">
        <f t="shared" si="0"/>
        <v>0</v>
      </c>
      <c r="F30" s="207">
        <f>'Звіт   4,5,6'!F62</f>
        <v>0</v>
      </c>
      <c r="G30" s="207">
        <f>'Звіт   4,5,6'!G62</f>
        <v>0</v>
      </c>
      <c r="H30" s="656" t="str">
        <f>'Звіт   4,5,6'!H62</f>
        <v>-</v>
      </c>
      <c r="I30" s="656" t="str">
        <f>'Звіт   4,5,6'!I62</f>
        <v>-</v>
      </c>
      <c r="J30" s="207">
        <f>'Звіт   4,5,6'!J62</f>
        <v>0</v>
      </c>
      <c r="K30" s="207">
        <f>'Звіт   4,5,6'!K62</f>
        <v>0</v>
      </c>
      <c r="L30" s="207">
        <f>'Звіт   4,5,6'!L62</f>
        <v>0</v>
      </c>
      <c r="M30" s="207">
        <f>'Звіт   4,5,6'!M62</f>
        <v>0</v>
      </c>
      <c r="N30" s="207">
        <f>'Звіт   4,5,6'!N62</f>
        <v>0</v>
      </c>
      <c r="O30" s="207">
        <f>'Звіт   4,5,6'!O62</f>
        <v>0</v>
      </c>
      <c r="P30" s="207">
        <f>'Звіт   4,5,6'!P62</f>
        <v>0</v>
      </c>
      <c r="Q30" s="207">
        <f>'Звіт   4,5,6'!Q62</f>
        <v>0</v>
      </c>
    </row>
    <row r="31" spans="1:17" ht="33.75" customHeight="1" x14ac:dyDescent="0.35">
      <c r="A31" s="651" t="s">
        <v>1207</v>
      </c>
      <c r="B31" s="830" t="s">
        <v>1470</v>
      </c>
      <c r="C31" s="48">
        <f>'Звіт   4,5,6'!D63</f>
        <v>0</v>
      </c>
      <c r="D31" s="48">
        <f>'Звіт   4,5,6'!E63</f>
        <v>0</v>
      </c>
      <c r="E31" s="838">
        <f t="shared" si="0"/>
        <v>0</v>
      </c>
      <c r="F31" s="207">
        <f>'Звіт   4,5,6'!F63</f>
        <v>0</v>
      </c>
      <c r="G31" s="207">
        <f>'Звіт   4,5,6'!G63</f>
        <v>0</v>
      </c>
      <c r="H31" s="656" t="str">
        <f>'Звіт   4,5,6'!H63</f>
        <v>-</v>
      </c>
      <c r="I31" s="656" t="str">
        <f>'Звіт   4,5,6'!I63</f>
        <v>-</v>
      </c>
      <c r="J31" s="207">
        <f>'Звіт   4,5,6'!J63</f>
        <v>0</v>
      </c>
      <c r="K31" s="207">
        <f>'Звіт   4,5,6'!K63</f>
        <v>0</v>
      </c>
      <c r="L31" s="207">
        <f>'Звіт   4,5,6'!L63</f>
        <v>0</v>
      </c>
      <c r="M31" s="207">
        <f>'Звіт   4,5,6'!M63</f>
        <v>0</v>
      </c>
      <c r="N31" s="207">
        <f>'Звіт   4,5,6'!N63</f>
        <v>0</v>
      </c>
      <c r="O31" s="207">
        <f>'Звіт   4,5,6'!O63</f>
        <v>0</v>
      </c>
      <c r="P31" s="207">
        <f>'Звіт   4,5,6'!P63</f>
        <v>0</v>
      </c>
      <c r="Q31" s="207">
        <f>'Звіт   4,5,6'!Q63</f>
        <v>0</v>
      </c>
    </row>
    <row r="32" spans="1:17" ht="33.75" customHeight="1" x14ac:dyDescent="0.35">
      <c r="A32" s="651" t="s">
        <v>1208</v>
      </c>
      <c r="B32" s="830" t="s">
        <v>1471</v>
      </c>
      <c r="C32" s="48">
        <f>'Звіт   4,5,6'!D64</f>
        <v>0</v>
      </c>
      <c r="D32" s="48">
        <f>'Звіт   4,5,6'!E64</f>
        <v>0</v>
      </c>
      <c r="E32" s="838">
        <f t="shared" si="0"/>
        <v>0</v>
      </c>
      <c r="F32" s="207">
        <f>'Звіт   4,5,6'!F64</f>
        <v>0</v>
      </c>
      <c r="G32" s="207">
        <f>'Звіт   4,5,6'!G64</f>
        <v>0</v>
      </c>
      <c r="H32" s="656" t="str">
        <f>'Звіт   4,5,6'!H64</f>
        <v>-</v>
      </c>
      <c r="I32" s="656" t="str">
        <f>'Звіт   4,5,6'!I64</f>
        <v>-</v>
      </c>
      <c r="J32" s="207">
        <f>'Звіт   4,5,6'!J64</f>
        <v>0</v>
      </c>
      <c r="K32" s="207">
        <f>'Звіт   4,5,6'!K64</f>
        <v>0</v>
      </c>
      <c r="L32" s="207">
        <f>'Звіт   4,5,6'!L64</f>
        <v>0</v>
      </c>
      <c r="M32" s="207">
        <f>'Звіт   4,5,6'!M64</f>
        <v>0</v>
      </c>
      <c r="N32" s="207">
        <f>'Звіт   4,5,6'!N64</f>
        <v>0</v>
      </c>
      <c r="O32" s="207">
        <f>'Звіт   4,5,6'!O64</f>
        <v>0</v>
      </c>
      <c r="P32" s="207">
        <f>'Звіт   4,5,6'!P64</f>
        <v>0</v>
      </c>
      <c r="Q32" s="207">
        <f>'Звіт   4,5,6'!Q64</f>
        <v>0</v>
      </c>
    </row>
    <row r="33" spans="1:17" ht="33.75" customHeight="1" thickBot="1" x14ac:dyDescent="0.4">
      <c r="A33" s="654" t="s">
        <v>183</v>
      </c>
      <c r="B33" s="827" t="s">
        <v>1472</v>
      </c>
      <c r="C33" s="211">
        <f>'Звіт   4,5,6'!D65</f>
        <v>0</v>
      </c>
      <c r="D33" s="211">
        <f>'Звіт   4,5,6'!E65</f>
        <v>0</v>
      </c>
      <c r="E33" s="838">
        <f t="shared" si="0"/>
        <v>0</v>
      </c>
      <c r="F33" s="207">
        <f>'Звіт   4,5,6'!F65</f>
        <v>0</v>
      </c>
      <c r="G33" s="207">
        <f>'Звіт   4,5,6'!G65</f>
        <v>0</v>
      </c>
      <c r="H33" s="207">
        <f>'Звіт   4,5,6'!H65</f>
        <v>0</v>
      </c>
      <c r="I33" s="207">
        <f>'Звіт   4,5,6'!I65</f>
        <v>0</v>
      </c>
      <c r="J33" s="207">
        <f>'Звіт   4,5,6'!J65</f>
        <v>0</v>
      </c>
      <c r="K33" s="207">
        <f>'Звіт   4,5,6'!K65</f>
        <v>0</v>
      </c>
      <c r="L33" s="207">
        <f>'Звіт   4,5,6'!L65</f>
        <v>0</v>
      </c>
      <c r="M33" s="207">
        <f>'Звіт   4,5,6'!M65</f>
        <v>0</v>
      </c>
      <c r="N33" s="207">
        <f>'Звіт   4,5,6'!N65</f>
        <v>0</v>
      </c>
      <c r="O33" s="207">
        <f>'Звіт   4,5,6'!O65</f>
        <v>0</v>
      </c>
      <c r="P33" s="207">
        <f>'Звіт   4,5,6'!P65</f>
        <v>0</v>
      </c>
      <c r="Q33" s="207">
        <f>'Звіт   4,5,6'!Q65</f>
        <v>0</v>
      </c>
    </row>
    <row r="34" spans="1:17" ht="33.75" customHeight="1" x14ac:dyDescent="0.35">
      <c r="A34" s="208" t="s">
        <v>184</v>
      </c>
      <c r="B34" s="833" t="s">
        <v>1059</v>
      </c>
      <c r="C34" s="209">
        <f>'Звіт   4,5,6'!D66</f>
        <v>0</v>
      </c>
      <c r="D34" s="209">
        <f>'Звіт   4,5,6'!E66</f>
        <v>1907941</v>
      </c>
      <c r="E34" s="838">
        <f t="shared" si="0"/>
        <v>5.7818794295399538</v>
      </c>
      <c r="F34" s="209">
        <f>'Звіт   4,5,6'!F66</f>
        <v>0</v>
      </c>
      <c r="G34" s="209">
        <f>'Звіт   4,5,6'!G66</f>
        <v>1907941</v>
      </c>
      <c r="H34" s="209">
        <f>'Звіт   4,5,6'!H66</f>
        <v>0</v>
      </c>
      <c r="I34" s="209">
        <f>'Звіт   4,5,6'!I66</f>
        <v>0</v>
      </c>
      <c r="J34" s="209">
        <f>'Звіт   4,5,6'!J66</f>
        <v>0</v>
      </c>
      <c r="K34" s="209">
        <f>'Звіт   4,5,6'!K66</f>
        <v>0</v>
      </c>
      <c r="L34" s="209">
        <f>'Звіт   4,5,6'!L66</f>
        <v>0</v>
      </c>
      <c r="M34" s="209">
        <f>'Звіт   4,5,6'!M66</f>
        <v>0</v>
      </c>
      <c r="N34" s="209">
        <f>'Звіт   4,5,6'!N66</f>
        <v>0</v>
      </c>
      <c r="O34" s="209">
        <f>'Звіт   4,5,6'!O66</f>
        <v>0</v>
      </c>
      <c r="P34" s="209">
        <f>'Звіт   4,5,6'!P66</f>
        <v>0</v>
      </c>
      <c r="Q34" s="209">
        <f>'Звіт   4,5,6'!Q66</f>
        <v>0</v>
      </c>
    </row>
    <row r="35" spans="1:17" ht="33.75" customHeight="1" x14ac:dyDescent="0.35">
      <c r="A35" s="651" t="s">
        <v>300</v>
      </c>
      <c r="B35" s="652" t="s">
        <v>1060</v>
      </c>
      <c r="C35" s="48">
        <f>'Звіт   4,5,6'!D67</f>
        <v>0</v>
      </c>
      <c r="D35" s="48">
        <f>'Звіт   4,5,6'!E67</f>
        <v>0</v>
      </c>
      <c r="E35" s="838">
        <f t="shared" si="0"/>
        <v>0</v>
      </c>
      <c r="F35" s="207">
        <f>'Звіт   4,5,6'!F67</f>
        <v>0</v>
      </c>
      <c r="G35" s="207">
        <f>'Звіт   4,5,6'!G67</f>
        <v>0</v>
      </c>
      <c r="H35" s="656" t="str">
        <f>'Звіт   4,5,6'!H67</f>
        <v>-</v>
      </c>
      <c r="I35" s="656" t="str">
        <f>'Звіт   4,5,6'!I67</f>
        <v>-</v>
      </c>
      <c r="J35" s="207">
        <f>'Звіт   4,5,6'!J67</f>
        <v>0</v>
      </c>
      <c r="K35" s="207">
        <f>'Звіт   4,5,6'!K67</f>
        <v>0</v>
      </c>
      <c r="L35" s="207">
        <f>'Звіт   4,5,6'!L67</f>
        <v>0</v>
      </c>
      <c r="M35" s="207">
        <f>'Звіт   4,5,6'!M67</f>
        <v>0</v>
      </c>
      <c r="N35" s="207">
        <f>'Звіт   4,5,6'!N67</f>
        <v>0</v>
      </c>
      <c r="O35" s="207">
        <f>'Звіт   4,5,6'!O67</f>
        <v>0</v>
      </c>
      <c r="P35" s="207">
        <f>'Звіт   4,5,6'!P67</f>
        <v>0</v>
      </c>
      <c r="Q35" s="207">
        <f>'Звіт   4,5,6'!Q67</f>
        <v>0</v>
      </c>
    </row>
    <row r="36" spans="1:17" ht="33.75" customHeight="1" x14ac:dyDescent="0.35">
      <c r="A36" s="651" t="s">
        <v>301</v>
      </c>
      <c r="B36" s="652" t="s">
        <v>1061</v>
      </c>
      <c r="C36" s="48">
        <f>'Звіт   4,5,6'!D68</f>
        <v>0</v>
      </c>
      <c r="D36" s="48">
        <f>'Звіт   4,5,6'!E68</f>
        <v>11730</v>
      </c>
      <c r="E36" s="838">
        <f t="shared" si="0"/>
        <v>3.5546930281651089E-2</v>
      </c>
      <c r="F36" s="207">
        <f>'Звіт   4,5,6'!F68</f>
        <v>0</v>
      </c>
      <c r="G36" s="207">
        <f>'Звіт   4,5,6'!G68</f>
        <v>11730</v>
      </c>
      <c r="H36" s="656" t="str">
        <f>'Звіт   4,5,6'!H68</f>
        <v>-</v>
      </c>
      <c r="I36" s="656" t="str">
        <f>'Звіт   4,5,6'!I68</f>
        <v>-</v>
      </c>
      <c r="J36" s="207">
        <f>'Звіт   4,5,6'!J68</f>
        <v>0</v>
      </c>
      <c r="K36" s="207">
        <f>'Звіт   4,5,6'!K68</f>
        <v>0</v>
      </c>
      <c r="L36" s="207">
        <f>'Звіт   4,5,6'!L68</f>
        <v>0</v>
      </c>
      <c r="M36" s="207">
        <f>'Звіт   4,5,6'!M68</f>
        <v>0</v>
      </c>
      <c r="N36" s="207">
        <f>'Звіт   4,5,6'!N68</f>
        <v>0</v>
      </c>
      <c r="O36" s="207">
        <f>'Звіт   4,5,6'!O68</f>
        <v>0</v>
      </c>
      <c r="P36" s="207">
        <f>'Звіт   4,5,6'!P68</f>
        <v>0</v>
      </c>
      <c r="Q36" s="207">
        <f>'Звіт   4,5,6'!Q68</f>
        <v>0</v>
      </c>
    </row>
    <row r="37" spans="1:17" ht="33.75" customHeight="1" x14ac:dyDescent="0.35">
      <c r="A37" s="651" t="s">
        <v>302</v>
      </c>
      <c r="B37" s="652" t="s">
        <v>1473</v>
      </c>
      <c r="C37" s="48">
        <f>'Звіт   4,5,6'!D69</f>
        <v>0</v>
      </c>
      <c r="D37" s="48">
        <f>'Звіт   4,5,6'!E69</f>
        <v>383005</v>
      </c>
      <c r="E37" s="838">
        <f t="shared" si="0"/>
        <v>1.1606693974871078</v>
      </c>
      <c r="F37" s="207">
        <f>'Звіт   4,5,6'!F69</f>
        <v>0</v>
      </c>
      <c r="G37" s="207">
        <f>'Звіт   4,5,6'!G69</f>
        <v>383005</v>
      </c>
      <c r="H37" s="656" t="str">
        <f>'Звіт   4,5,6'!H69</f>
        <v>-</v>
      </c>
      <c r="I37" s="656" t="str">
        <f>'Звіт   4,5,6'!I69</f>
        <v>-</v>
      </c>
      <c r="J37" s="207">
        <f>'Звіт   4,5,6'!J69</f>
        <v>0</v>
      </c>
      <c r="K37" s="207">
        <f>'Звіт   4,5,6'!K69</f>
        <v>0</v>
      </c>
      <c r="L37" s="207">
        <f>'Звіт   4,5,6'!L69</f>
        <v>0</v>
      </c>
      <c r="M37" s="207">
        <f>'Звіт   4,5,6'!M69</f>
        <v>0</v>
      </c>
      <c r="N37" s="207">
        <f>'Звіт   4,5,6'!N69</f>
        <v>0</v>
      </c>
      <c r="O37" s="207">
        <f>'Звіт   4,5,6'!O69</f>
        <v>0</v>
      </c>
      <c r="P37" s="207">
        <f>'Звіт   4,5,6'!P69</f>
        <v>0</v>
      </c>
      <c r="Q37" s="207">
        <f>'Звіт   4,5,6'!Q69</f>
        <v>0</v>
      </c>
    </row>
    <row r="38" spans="1:17" ht="33.75" customHeight="1" x14ac:dyDescent="0.35">
      <c r="A38" s="651" t="s">
        <v>303</v>
      </c>
      <c r="B38" s="652" t="s">
        <v>1062</v>
      </c>
      <c r="C38" s="48">
        <f>'Звіт   4,5,6'!D70</f>
        <v>0</v>
      </c>
      <c r="D38" s="48">
        <f>'Звіт   4,5,6'!E70</f>
        <v>0</v>
      </c>
      <c r="E38" s="838">
        <f t="shared" si="0"/>
        <v>0</v>
      </c>
      <c r="F38" s="207">
        <f>'Звіт   4,5,6'!F70</f>
        <v>0</v>
      </c>
      <c r="G38" s="207">
        <f>'Звіт   4,5,6'!G70</f>
        <v>0</v>
      </c>
      <c r="H38" s="207">
        <f>'Звіт   4,5,6'!H70</f>
        <v>0</v>
      </c>
      <c r="I38" s="207">
        <f>'Звіт   4,5,6'!I70</f>
        <v>0</v>
      </c>
      <c r="J38" s="207">
        <f>'Звіт   4,5,6'!J70</f>
        <v>0</v>
      </c>
      <c r="K38" s="207">
        <f>'Звіт   4,5,6'!K70</f>
        <v>0</v>
      </c>
      <c r="L38" s="207">
        <f>'Звіт   4,5,6'!L70</f>
        <v>0</v>
      </c>
      <c r="M38" s="207">
        <f>'Звіт   4,5,6'!M70</f>
        <v>0</v>
      </c>
      <c r="N38" s="207">
        <f>'Звіт   4,5,6'!N70</f>
        <v>0</v>
      </c>
      <c r="O38" s="207">
        <f>'Звіт   4,5,6'!O70</f>
        <v>0</v>
      </c>
      <c r="P38" s="207">
        <f>'Звіт   4,5,6'!P70</f>
        <v>0</v>
      </c>
      <c r="Q38" s="207">
        <f>'Звіт   4,5,6'!Q70</f>
        <v>0</v>
      </c>
    </row>
    <row r="39" spans="1:17" ht="33.75" customHeight="1" x14ac:dyDescent="0.35">
      <c r="A39" s="651" t="s">
        <v>304</v>
      </c>
      <c r="B39" s="826" t="s">
        <v>1063</v>
      </c>
      <c r="C39" s="48">
        <f>'Звіт   4,5,6'!D71</f>
        <v>0</v>
      </c>
      <c r="D39" s="48">
        <f>'Звіт   4,5,6'!E71</f>
        <v>0</v>
      </c>
      <c r="E39" s="838">
        <f t="shared" si="0"/>
        <v>0</v>
      </c>
      <c r="F39" s="339">
        <f>'Звіт   4,5,6'!F71</f>
        <v>0</v>
      </c>
      <c r="G39" s="339">
        <f>'Звіт   4,5,6'!G71</f>
        <v>0</v>
      </c>
      <c r="H39" s="339">
        <f>'Звіт   4,5,6'!H71</f>
        <v>0</v>
      </c>
      <c r="I39" s="339">
        <f>'Звіт   4,5,6'!I71</f>
        <v>0</v>
      </c>
      <c r="J39" s="339">
        <f>'Звіт   4,5,6'!J71</f>
        <v>0</v>
      </c>
      <c r="K39" s="339">
        <f>'Звіт   4,5,6'!K71</f>
        <v>0</v>
      </c>
      <c r="L39" s="339">
        <f>'Звіт   4,5,6'!L71</f>
        <v>0</v>
      </c>
      <c r="M39" s="339">
        <f>'Звіт   4,5,6'!M71</f>
        <v>0</v>
      </c>
      <c r="N39" s="339">
        <f>'Звіт   4,5,6'!N71</f>
        <v>0</v>
      </c>
      <c r="O39" s="339">
        <f>'Звіт   4,5,6'!O71</f>
        <v>0</v>
      </c>
      <c r="P39" s="339">
        <f>'Звіт   4,5,6'!P71</f>
        <v>0</v>
      </c>
      <c r="Q39" s="339">
        <f>'Звіт   4,5,6'!Q71</f>
        <v>0</v>
      </c>
    </row>
    <row r="40" spans="1:17" ht="33.75" customHeight="1" x14ac:dyDescent="0.35">
      <c r="A40" s="651" t="s">
        <v>305</v>
      </c>
      <c r="B40" s="830" t="s">
        <v>1064</v>
      </c>
      <c r="C40" s="48">
        <f>'Звіт   4,5,6'!D72</f>
        <v>0</v>
      </c>
      <c r="D40" s="48">
        <f>'Звіт   4,5,6'!E72</f>
        <v>0</v>
      </c>
      <c r="E40" s="838">
        <f t="shared" si="0"/>
        <v>0</v>
      </c>
      <c r="F40" s="207">
        <f>'Звіт   4,5,6'!F72</f>
        <v>0</v>
      </c>
      <c r="G40" s="207">
        <f>'Звіт   4,5,6'!G72</f>
        <v>0</v>
      </c>
      <c r="H40" s="656" t="str">
        <f>'Звіт   4,5,6'!H72</f>
        <v>-</v>
      </c>
      <c r="I40" s="656" t="str">
        <f>'Звіт   4,5,6'!I72</f>
        <v>-</v>
      </c>
      <c r="J40" s="656" t="str">
        <f>'Звіт   4,5,6'!J72</f>
        <v>-</v>
      </c>
      <c r="K40" s="656" t="str">
        <f>'Звіт   4,5,6'!K72</f>
        <v>-</v>
      </c>
      <c r="L40" s="656" t="str">
        <f>'Звіт   4,5,6'!L72</f>
        <v>-</v>
      </c>
      <c r="M40" s="656" t="str">
        <f>'Звіт   4,5,6'!M72</f>
        <v>-</v>
      </c>
      <c r="N40" s="207">
        <f>'Звіт   4,5,6'!N72</f>
        <v>0</v>
      </c>
      <c r="O40" s="207">
        <f>'Звіт   4,5,6'!O72</f>
        <v>0</v>
      </c>
      <c r="P40" s="207">
        <f>'Звіт   4,5,6'!P72</f>
        <v>0</v>
      </c>
      <c r="Q40" s="207">
        <f>'Звіт   4,5,6'!Q72</f>
        <v>0</v>
      </c>
    </row>
    <row r="41" spans="1:17" ht="33.75" customHeight="1" x14ac:dyDescent="0.35">
      <c r="A41" s="651" t="s">
        <v>306</v>
      </c>
      <c r="B41" s="830" t="s">
        <v>1065</v>
      </c>
      <c r="C41" s="48">
        <f>'Звіт   4,5,6'!D73</f>
        <v>0</v>
      </c>
      <c r="D41" s="48">
        <f>'Звіт   4,5,6'!E73</f>
        <v>0</v>
      </c>
      <c r="E41" s="838">
        <f t="shared" si="0"/>
        <v>0</v>
      </c>
      <c r="F41" s="207">
        <f>'Звіт   4,5,6'!F73</f>
        <v>0</v>
      </c>
      <c r="G41" s="207">
        <f>'Звіт   4,5,6'!G73</f>
        <v>0</v>
      </c>
      <c r="H41" s="656" t="str">
        <f>'Звіт   4,5,6'!H73</f>
        <v>-</v>
      </c>
      <c r="I41" s="656" t="str">
        <f>'Звіт   4,5,6'!I73</f>
        <v>-</v>
      </c>
      <c r="J41" s="207">
        <f>'Звіт   4,5,6'!J73</f>
        <v>0</v>
      </c>
      <c r="K41" s="207">
        <f>'Звіт   4,5,6'!K73</f>
        <v>0</v>
      </c>
      <c r="L41" s="207">
        <f>'Звіт   4,5,6'!L73</f>
        <v>0</v>
      </c>
      <c r="M41" s="207">
        <f>'Звіт   4,5,6'!M73</f>
        <v>0</v>
      </c>
      <c r="N41" s="207">
        <f>'Звіт   4,5,6'!N73</f>
        <v>0</v>
      </c>
      <c r="O41" s="207">
        <f>'Звіт   4,5,6'!O73</f>
        <v>0</v>
      </c>
      <c r="P41" s="207">
        <f>'Звіт   4,5,6'!P73</f>
        <v>0</v>
      </c>
      <c r="Q41" s="207">
        <f>'Звіт   4,5,6'!Q73</f>
        <v>0</v>
      </c>
    </row>
    <row r="42" spans="1:17" ht="33.75" customHeight="1" x14ac:dyDescent="0.35">
      <c r="A42" s="651" t="s">
        <v>307</v>
      </c>
      <c r="B42" s="830" t="s">
        <v>1066</v>
      </c>
      <c r="C42" s="48">
        <f>'Звіт   4,5,6'!D74</f>
        <v>0</v>
      </c>
      <c r="D42" s="48">
        <f>'Звіт   4,5,6'!E74</f>
        <v>0</v>
      </c>
      <c r="E42" s="838">
        <f t="shared" si="0"/>
        <v>0</v>
      </c>
      <c r="F42" s="207">
        <f>'Звіт   4,5,6'!F74</f>
        <v>0</v>
      </c>
      <c r="G42" s="207">
        <f>'Звіт   4,5,6'!G74</f>
        <v>0</v>
      </c>
      <c r="H42" s="656" t="str">
        <f>'Звіт   4,5,6'!H74</f>
        <v>-</v>
      </c>
      <c r="I42" s="656" t="str">
        <f>'Звіт   4,5,6'!I74</f>
        <v>-</v>
      </c>
      <c r="J42" s="207">
        <f>'Звіт   4,5,6'!J74</f>
        <v>0</v>
      </c>
      <c r="K42" s="207">
        <f>'Звіт   4,5,6'!K74</f>
        <v>0</v>
      </c>
      <c r="L42" s="207">
        <f>'Звіт   4,5,6'!L74</f>
        <v>0</v>
      </c>
      <c r="M42" s="207">
        <f>'Звіт   4,5,6'!M74</f>
        <v>0</v>
      </c>
      <c r="N42" s="207">
        <f>'Звіт   4,5,6'!N74</f>
        <v>0</v>
      </c>
      <c r="O42" s="207">
        <f>'Звіт   4,5,6'!O74</f>
        <v>0</v>
      </c>
      <c r="P42" s="207">
        <f>'Звіт   4,5,6'!P74</f>
        <v>0</v>
      </c>
      <c r="Q42" s="207">
        <f>'Звіт   4,5,6'!Q74</f>
        <v>0</v>
      </c>
    </row>
    <row r="43" spans="1:17" ht="33.75" customHeight="1" x14ac:dyDescent="0.35">
      <c r="A43" s="651" t="s">
        <v>308</v>
      </c>
      <c r="B43" s="834" t="s">
        <v>1067</v>
      </c>
      <c r="C43" s="48">
        <f>'Звіт   4,5,6'!D75</f>
        <v>0</v>
      </c>
      <c r="D43" s="48">
        <f>'Звіт   4,5,6'!E75</f>
        <v>0</v>
      </c>
      <c r="E43" s="838">
        <f t="shared" si="0"/>
        <v>0</v>
      </c>
      <c r="F43" s="207">
        <f>'Звіт   4,5,6'!F75</f>
        <v>0</v>
      </c>
      <c r="G43" s="207">
        <f>'Звіт   4,5,6'!G75</f>
        <v>0</v>
      </c>
      <c r="H43" s="656" t="str">
        <f>'Звіт   4,5,6'!H75</f>
        <v>-</v>
      </c>
      <c r="I43" s="656" t="str">
        <f>'Звіт   4,5,6'!I75</f>
        <v>-</v>
      </c>
      <c r="J43" s="207">
        <f>'Звіт   4,5,6'!J75</f>
        <v>0</v>
      </c>
      <c r="K43" s="207">
        <f>'Звіт   4,5,6'!K75</f>
        <v>0</v>
      </c>
      <c r="L43" s="207">
        <f>'Звіт   4,5,6'!L75</f>
        <v>0</v>
      </c>
      <c r="M43" s="207">
        <f>'Звіт   4,5,6'!M75</f>
        <v>0</v>
      </c>
      <c r="N43" s="207">
        <f>'Звіт   4,5,6'!N75</f>
        <v>0</v>
      </c>
      <c r="O43" s="207">
        <f>'Звіт   4,5,6'!O75</f>
        <v>0</v>
      </c>
      <c r="P43" s="207">
        <f>'Звіт   4,5,6'!P75</f>
        <v>0</v>
      </c>
      <c r="Q43" s="207">
        <f>'Звіт   4,5,6'!Q75</f>
        <v>0</v>
      </c>
    </row>
    <row r="44" spans="1:17" ht="33.75" customHeight="1" x14ac:dyDescent="0.35">
      <c r="A44" s="651" t="s">
        <v>309</v>
      </c>
      <c r="B44" s="834" t="s">
        <v>1068</v>
      </c>
      <c r="C44" s="48">
        <f>'Звіт   4,5,6'!D76</f>
        <v>0</v>
      </c>
      <c r="D44" s="48">
        <f>'Звіт   4,5,6'!E76</f>
        <v>0</v>
      </c>
      <c r="E44" s="838">
        <f t="shared" si="0"/>
        <v>0</v>
      </c>
      <c r="F44" s="207">
        <f>'Звіт   4,5,6'!F76</f>
        <v>0</v>
      </c>
      <c r="G44" s="207">
        <f>'Звіт   4,5,6'!G76</f>
        <v>0</v>
      </c>
      <c r="H44" s="656" t="str">
        <f>'Звіт   4,5,6'!H76</f>
        <v>-</v>
      </c>
      <c r="I44" s="656" t="str">
        <f>'Звіт   4,5,6'!I76</f>
        <v>-</v>
      </c>
      <c r="J44" s="207">
        <f>'Звіт   4,5,6'!J76</f>
        <v>0</v>
      </c>
      <c r="K44" s="207">
        <f>'Звіт   4,5,6'!K76</f>
        <v>0</v>
      </c>
      <c r="L44" s="207">
        <f>'Звіт   4,5,6'!L76</f>
        <v>0</v>
      </c>
      <c r="M44" s="207">
        <f>'Звіт   4,5,6'!M76</f>
        <v>0</v>
      </c>
      <c r="N44" s="207">
        <f>'Звіт   4,5,6'!N76</f>
        <v>0</v>
      </c>
      <c r="O44" s="207">
        <f>'Звіт   4,5,6'!O76</f>
        <v>0</v>
      </c>
      <c r="P44" s="207">
        <f>'Звіт   4,5,6'!P76</f>
        <v>0</v>
      </c>
      <c r="Q44" s="207">
        <f>'Звіт   4,5,6'!Q76</f>
        <v>0</v>
      </c>
    </row>
    <row r="45" spans="1:17" ht="33.75" customHeight="1" x14ac:dyDescent="0.35">
      <c r="A45" s="651" t="s">
        <v>310</v>
      </c>
      <c r="B45" s="793" t="s">
        <v>1069</v>
      </c>
      <c r="C45" s="48">
        <f>'Звіт   4,5,6'!D77</f>
        <v>0</v>
      </c>
      <c r="D45" s="48">
        <f>'Звіт   4,5,6'!E77</f>
        <v>0</v>
      </c>
      <c r="E45" s="838">
        <f t="shared" si="0"/>
        <v>0</v>
      </c>
      <c r="F45" s="207">
        <f>'Звіт   4,5,6'!F77</f>
        <v>0</v>
      </c>
      <c r="G45" s="207">
        <f>'Звіт   4,5,6'!G77</f>
        <v>0</v>
      </c>
      <c r="H45" s="656" t="str">
        <f>'Звіт   4,5,6'!H77</f>
        <v>-</v>
      </c>
      <c r="I45" s="656" t="str">
        <f>'Звіт   4,5,6'!I77</f>
        <v>-</v>
      </c>
      <c r="J45" s="207">
        <f>'Звіт   4,5,6'!J77</f>
        <v>0</v>
      </c>
      <c r="K45" s="207">
        <f>'Звіт   4,5,6'!K77</f>
        <v>0</v>
      </c>
      <c r="L45" s="207">
        <f>'Звіт   4,5,6'!L77</f>
        <v>0</v>
      </c>
      <c r="M45" s="207">
        <f>'Звіт   4,5,6'!M77</f>
        <v>0</v>
      </c>
      <c r="N45" s="207">
        <f>'Звіт   4,5,6'!N77</f>
        <v>0</v>
      </c>
      <c r="O45" s="207">
        <f>'Звіт   4,5,6'!O77</f>
        <v>0</v>
      </c>
      <c r="P45" s="207">
        <f>'Звіт   4,5,6'!P77</f>
        <v>0</v>
      </c>
      <c r="Q45" s="207">
        <f>'Звіт   4,5,6'!Q77</f>
        <v>0</v>
      </c>
    </row>
    <row r="46" spans="1:17" ht="33.75" customHeight="1" x14ac:dyDescent="0.35">
      <c r="A46" s="651" t="s">
        <v>311</v>
      </c>
      <c r="B46" s="793" t="s">
        <v>1070</v>
      </c>
      <c r="C46" s="48">
        <f>'Звіт   4,5,6'!D78</f>
        <v>0</v>
      </c>
      <c r="D46" s="48">
        <f>'Звіт   4,5,6'!E78</f>
        <v>0</v>
      </c>
      <c r="E46" s="838">
        <f t="shared" si="0"/>
        <v>0</v>
      </c>
      <c r="F46" s="207">
        <f>'Звіт   4,5,6'!F78</f>
        <v>0</v>
      </c>
      <c r="G46" s="207">
        <f>'Звіт   4,5,6'!G78</f>
        <v>0</v>
      </c>
      <c r="H46" s="656" t="str">
        <f>'Звіт   4,5,6'!H78</f>
        <v>-</v>
      </c>
      <c r="I46" s="656" t="str">
        <f>'Звіт   4,5,6'!I78</f>
        <v>-</v>
      </c>
      <c r="J46" s="207">
        <f>'Звіт   4,5,6'!J78</f>
        <v>0</v>
      </c>
      <c r="K46" s="207">
        <f>'Звіт   4,5,6'!K78</f>
        <v>0</v>
      </c>
      <c r="L46" s="207">
        <f>'Звіт   4,5,6'!L78</f>
        <v>0</v>
      </c>
      <c r="M46" s="207">
        <f>'Звіт   4,5,6'!M78</f>
        <v>0</v>
      </c>
      <c r="N46" s="207">
        <f>'Звіт   4,5,6'!N78</f>
        <v>0</v>
      </c>
      <c r="O46" s="207">
        <f>'Звіт   4,5,6'!O78</f>
        <v>0</v>
      </c>
      <c r="P46" s="207">
        <f>'Звіт   4,5,6'!P78</f>
        <v>0</v>
      </c>
      <c r="Q46" s="207">
        <f>'Звіт   4,5,6'!Q78</f>
        <v>0</v>
      </c>
    </row>
    <row r="47" spans="1:17" ht="33.75" customHeight="1" x14ac:dyDescent="0.35">
      <c r="A47" s="651" t="s">
        <v>312</v>
      </c>
      <c r="B47" s="835" t="s">
        <v>1071</v>
      </c>
      <c r="C47" s="48">
        <f>'Звіт   4,5,6'!D79</f>
        <v>0</v>
      </c>
      <c r="D47" s="48">
        <f>'Звіт   4,5,6'!E79</f>
        <v>0</v>
      </c>
      <c r="E47" s="838">
        <f t="shared" si="0"/>
        <v>0</v>
      </c>
      <c r="F47" s="207">
        <f>'Звіт   4,5,6'!F79</f>
        <v>0</v>
      </c>
      <c r="G47" s="207">
        <f>'Звіт   4,5,6'!G79</f>
        <v>0</v>
      </c>
      <c r="H47" s="656" t="str">
        <f>'Звіт   4,5,6'!H79</f>
        <v>-</v>
      </c>
      <c r="I47" s="656" t="str">
        <f>'Звіт   4,5,6'!I79</f>
        <v>-</v>
      </c>
      <c r="J47" s="207">
        <f>'Звіт   4,5,6'!J79</f>
        <v>0</v>
      </c>
      <c r="K47" s="207">
        <f>'Звіт   4,5,6'!K79</f>
        <v>0</v>
      </c>
      <c r="L47" s="207">
        <f>'Звіт   4,5,6'!L79</f>
        <v>0</v>
      </c>
      <c r="M47" s="207">
        <f>'Звіт   4,5,6'!M79</f>
        <v>0</v>
      </c>
      <c r="N47" s="207">
        <f>'Звіт   4,5,6'!N79</f>
        <v>0</v>
      </c>
      <c r="O47" s="207">
        <f>'Звіт   4,5,6'!O79</f>
        <v>0</v>
      </c>
      <c r="P47" s="207">
        <f>'Звіт   4,5,6'!P79</f>
        <v>0</v>
      </c>
      <c r="Q47" s="207">
        <f>'Звіт   4,5,6'!Q79</f>
        <v>0</v>
      </c>
    </row>
    <row r="48" spans="1:17" ht="33.75" customHeight="1" x14ac:dyDescent="0.35">
      <c r="A48" s="651" t="s">
        <v>313</v>
      </c>
      <c r="B48" s="835" t="s">
        <v>1072</v>
      </c>
      <c r="C48" s="48">
        <f>'Звіт   4,5,6'!D80</f>
        <v>0</v>
      </c>
      <c r="D48" s="48">
        <f>'Звіт   4,5,6'!E80</f>
        <v>0</v>
      </c>
      <c r="E48" s="838">
        <f t="shared" si="0"/>
        <v>0</v>
      </c>
      <c r="F48" s="207">
        <f>'Звіт   4,5,6'!F80</f>
        <v>0</v>
      </c>
      <c r="G48" s="207">
        <f>'Звіт   4,5,6'!G80</f>
        <v>0</v>
      </c>
      <c r="H48" s="656" t="str">
        <f>'Звіт   4,5,6'!H80</f>
        <v>-</v>
      </c>
      <c r="I48" s="656" t="str">
        <f>'Звіт   4,5,6'!I80</f>
        <v>-</v>
      </c>
      <c r="J48" s="207">
        <f>'Звіт   4,5,6'!J80</f>
        <v>0</v>
      </c>
      <c r="K48" s="207">
        <f>'Звіт   4,5,6'!K80</f>
        <v>0</v>
      </c>
      <c r="L48" s="207">
        <f>'Звіт   4,5,6'!L80</f>
        <v>0</v>
      </c>
      <c r="M48" s="207">
        <f>'Звіт   4,5,6'!M80</f>
        <v>0</v>
      </c>
      <c r="N48" s="207">
        <f>'Звіт   4,5,6'!N80</f>
        <v>0</v>
      </c>
      <c r="O48" s="207">
        <f>'Звіт   4,5,6'!O80</f>
        <v>0</v>
      </c>
      <c r="P48" s="207">
        <f>'Звіт   4,5,6'!P80</f>
        <v>0</v>
      </c>
      <c r="Q48" s="207">
        <f>'Звіт   4,5,6'!Q80</f>
        <v>0</v>
      </c>
    </row>
    <row r="49" spans="1:17" ht="33.75" customHeight="1" x14ac:dyDescent="0.35">
      <c r="A49" s="651" t="s">
        <v>314</v>
      </c>
      <c r="B49" s="835" t="s">
        <v>1073</v>
      </c>
      <c r="C49" s="48">
        <f>'Звіт   4,5,6'!D81</f>
        <v>0</v>
      </c>
      <c r="D49" s="48">
        <f>'Звіт   4,5,6'!E81</f>
        <v>0</v>
      </c>
      <c r="E49" s="838">
        <f t="shared" si="0"/>
        <v>0</v>
      </c>
      <c r="F49" s="207">
        <f>'Звіт   4,5,6'!F81</f>
        <v>0</v>
      </c>
      <c r="G49" s="207">
        <f>'Звіт   4,5,6'!G81</f>
        <v>0</v>
      </c>
      <c r="H49" s="656" t="str">
        <f>'Звіт   4,5,6'!H81</f>
        <v>-</v>
      </c>
      <c r="I49" s="656" t="str">
        <f>'Звіт   4,5,6'!I81</f>
        <v>-</v>
      </c>
      <c r="J49" s="207">
        <f>'Звіт   4,5,6'!J81</f>
        <v>0</v>
      </c>
      <c r="K49" s="207">
        <f>'Звіт   4,5,6'!K81</f>
        <v>0</v>
      </c>
      <c r="L49" s="207">
        <f>'Звіт   4,5,6'!L81</f>
        <v>0</v>
      </c>
      <c r="M49" s="207">
        <f>'Звіт   4,5,6'!M81</f>
        <v>0</v>
      </c>
      <c r="N49" s="207">
        <f>'Звіт   4,5,6'!N81</f>
        <v>0</v>
      </c>
      <c r="O49" s="207">
        <f>'Звіт   4,5,6'!O81</f>
        <v>0</v>
      </c>
      <c r="P49" s="207">
        <f>'Звіт   4,5,6'!P81</f>
        <v>0</v>
      </c>
      <c r="Q49" s="207">
        <f>'Звіт   4,5,6'!Q81</f>
        <v>0</v>
      </c>
    </row>
    <row r="50" spans="1:17" ht="33.75" customHeight="1" x14ac:dyDescent="0.35">
      <c r="A50" s="651" t="s">
        <v>315</v>
      </c>
      <c r="B50" s="835" t="s">
        <v>1074</v>
      </c>
      <c r="C50" s="48">
        <f>'Звіт   4,5,6'!D82</f>
        <v>0</v>
      </c>
      <c r="D50" s="48">
        <f>'Звіт   4,5,6'!E82</f>
        <v>0</v>
      </c>
      <c r="E50" s="838">
        <f t="shared" si="0"/>
        <v>0</v>
      </c>
      <c r="F50" s="207">
        <f>'Звіт   4,5,6'!F82</f>
        <v>0</v>
      </c>
      <c r="G50" s="207">
        <f>'Звіт   4,5,6'!G82</f>
        <v>0</v>
      </c>
      <c r="H50" s="656" t="str">
        <f>'Звіт   4,5,6'!H82</f>
        <v>-</v>
      </c>
      <c r="I50" s="656" t="str">
        <f>'Звіт   4,5,6'!I82</f>
        <v>-</v>
      </c>
      <c r="J50" s="207">
        <f>'Звіт   4,5,6'!J82</f>
        <v>0</v>
      </c>
      <c r="K50" s="207">
        <f>'Звіт   4,5,6'!K82</f>
        <v>0</v>
      </c>
      <c r="L50" s="207">
        <f>'Звіт   4,5,6'!L82</f>
        <v>0</v>
      </c>
      <c r="M50" s="207">
        <f>'Звіт   4,5,6'!M82</f>
        <v>0</v>
      </c>
      <c r="N50" s="207">
        <f>'Звіт   4,5,6'!N82</f>
        <v>0</v>
      </c>
      <c r="O50" s="207">
        <f>'Звіт   4,5,6'!O82</f>
        <v>0</v>
      </c>
      <c r="P50" s="207">
        <f>'Звіт   4,5,6'!P82</f>
        <v>0</v>
      </c>
      <c r="Q50" s="207">
        <f>'Звіт   4,5,6'!Q82</f>
        <v>0</v>
      </c>
    </row>
    <row r="51" spans="1:17" ht="33.75" customHeight="1" x14ac:dyDescent="0.35">
      <c r="A51" s="651" t="s">
        <v>316</v>
      </c>
      <c r="B51" s="793" t="s">
        <v>1075</v>
      </c>
      <c r="C51" s="48">
        <f>'Звіт   4,5,6'!D83</f>
        <v>0</v>
      </c>
      <c r="D51" s="48">
        <f>'Звіт   4,5,6'!E83</f>
        <v>0</v>
      </c>
      <c r="E51" s="838">
        <f t="shared" si="0"/>
        <v>0</v>
      </c>
      <c r="F51" s="207">
        <f>'Звіт   4,5,6'!F83</f>
        <v>0</v>
      </c>
      <c r="G51" s="207">
        <f>'Звіт   4,5,6'!G83</f>
        <v>0</v>
      </c>
      <c r="H51" s="207">
        <f>'Звіт   4,5,6'!H83</f>
        <v>0</v>
      </c>
      <c r="I51" s="207">
        <f>'Звіт   4,5,6'!I83</f>
        <v>0</v>
      </c>
      <c r="J51" s="207">
        <f>'Звіт   4,5,6'!J83</f>
        <v>0</v>
      </c>
      <c r="K51" s="207">
        <f>'Звіт   4,5,6'!K83</f>
        <v>0</v>
      </c>
      <c r="L51" s="207">
        <f>'Звіт   4,5,6'!L83</f>
        <v>0</v>
      </c>
      <c r="M51" s="207">
        <f>'Звіт   4,5,6'!M83</f>
        <v>0</v>
      </c>
      <c r="N51" s="207">
        <f>'Звіт   4,5,6'!N83</f>
        <v>0</v>
      </c>
      <c r="O51" s="207">
        <f>'Звіт   4,5,6'!O83</f>
        <v>0</v>
      </c>
      <c r="P51" s="207">
        <f>'Звіт   4,5,6'!P83</f>
        <v>0</v>
      </c>
      <c r="Q51" s="207">
        <f>'Звіт   4,5,6'!Q83</f>
        <v>0</v>
      </c>
    </row>
    <row r="52" spans="1:17" ht="33.75" customHeight="1" x14ac:dyDescent="0.35">
      <c r="A52" s="651" t="s">
        <v>317</v>
      </c>
      <c r="B52" s="825" t="s">
        <v>1076</v>
      </c>
      <c r="C52" s="48">
        <f>'Звіт   4,5,6'!D84</f>
        <v>0</v>
      </c>
      <c r="D52" s="48">
        <f>'Звіт   4,5,6'!E84</f>
        <v>0</v>
      </c>
      <c r="E52" s="838">
        <f t="shared" si="0"/>
        <v>0</v>
      </c>
      <c r="F52" s="656" t="str">
        <f>'Звіт   4,5,6'!F84</f>
        <v>-</v>
      </c>
      <c r="G52" s="656" t="str">
        <f>'Звіт   4,5,6'!G84</f>
        <v>-</v>
      </c>
      <c r="H52" s="656" t="str">
        <f>'Звіт   4,5,6'!H84</f>
        <v>-</v>
      </c>
      <c r="I52" s="656" t="str">
        <f>'Звіт   4,5,6'!I84</f>
        <v>-</v>
      </c>
      <c r="J52" s="207">
        <f>'Звіт   4,5,6'!J84</f>
        <v>0</v>
      </c>
      <c r="K52" s="207">
        <f>'Звіт   4,5,6'!K84</f>
        <v>0</v>
      </c>
      <c r="L52" s="207">
        <f>'Звіт   4,5,6'!L84</f>
        <v>0</v>
      </c>
      <c r="M52" s="207">
        <f>'Звіт   4,5,6'!M84</f>
        <v>0</v>
      </c>
      <c r="N52" s="207">
        <f>'Звіт   4,5,6'!N84</f>
        <v>0</v>
      </c>
      <c r="O52" s="207">
        <f>'Звіт   4,5,6'!O84</f>
        <v>0</v>
      </c>
      <c r="P52" s="207">
        <f>'Звіт   4,5,6'!P84</f>
        <v>0</v>
      </c>
      <c r="Q52" s="207">
        <f>'Звіт   4,5,6'!Q84</f>
        <v>0</v>
      </c>
    </row>
    <row r="53" spans="1:17" ht="33.75" customHeight="1" x14ac:dyDescent="0.35">
      <c r="A53" s="651" t="s">
        <v>318</v>
      </c>
      <c r="B53" s="825" t="s">
        <v>1077</v>
      </c>
      <c r="C53" s="48">
        <f>'Звіт   4,5,6'!D85</f>
        <v>0</v>
      </c>
      <c r="D53" s="48">
        <f>'Звіт   4,5,6'!E85</f>
        <v>0</v>
      </c>
      <c r="E53" s="838">
        <f t="shared" si="0"/>
        <v>0</v>
      </c>
      <c r="F53" s="656" t="str">
        <f>'Звіт   4,5,6'!F85</f>
        <v>-</v>
      </c>
      <c r="G53" s="656" t="str">
        <f>'Звіт   4,5,6'!G85</f>
        <v>-</v>
      </c>
      <c r="H53" s="656" t="str">
        <f>'Звіт   4,5,6'!H85</f>
        <v>-</v>
      </c>
      <c r="I53" s="656" t="str">
        <f>'Звіт   4,5,6'!I85</f>
        <v>-</v>
      </c>
      <c r="J53" s="207">
        <f>'Звіт   4,5,6'!J85</f>
        <v>0</v>
      </c>
      <c r="K53" s="207">
        <f>'Звіт   4,5,6'!K85</f>
        <v>0</v>
      </c>
      <c r="L53" s="207">
        <f>'Звіт   4,5,6'!L85</f>
        <v>0</v>
      </c>
      <c r="M53" s="207">
        <f>'Звіт   4,5,6'!M85</f>
        <v>0</v>
      </c>
      <c r="N53" s="207">
        <f>'Звіт   4,5,6'!N85</f>
        <v>0</v>
      </c>
      <c r="O53" s="207">
        <f>'Звіт   4,5,6'!O85</f>
        <v>0</v>
      </c>
      <c r="P53" s="207">
        <f>'Звіт   4,5,6'!P85</f>
        <v>0</v>
      </c>
      <c r="Q53" s="207">
        <f>'Звіт   4,5,6'!Q85</f>
        <v>0</v>
      </c>
    </row>
    <row r="54" spans="1:17" ht="33.75" customHeight="1" x14ac:dyDescent="0.35">
      <c r="A54" s="651" t="s">
        <v>319</v>
      </c>
      <c r="B54" s="825" t="s">
        <v>1474</v>
      </c>
      <c r="C54" s="48">
        <f>'Звіт   4,5,6'!D86</f>
        <v>0</v>
      </c>
      <c r="D54" s="48">
        <f>'Звіт   4,5,6'!E86</f>
        <v>0</v>
      </c>
      <c r="E54" s="838">
        <f t="shared" si="0"/>
        <v>0</v>
      </c>
      <c r="F54" s="207">
        <f>'Звіт   4,5,6'!F86</f>
        <v>0</v>
      </c>
      <c r="G54" s="207">
        <f>'Звіт   4,5,6'!G86</f>
        <v>0</v>
      </c>
      <c r="H54" s="656" t="str">
        <f>'Звіт   4,5,6'!H86</f>
        <v>-</v>
      </c>
      <c r="I54" s="656" t="str">
        <f>'Звіт   4,5,6'!I86</f>
        <v>-</v>
      </c>
      <c r="J54" s="656" t="str">
        <f>'Звіт   4,5,6'!J86</f>
        <v>-</v>
      </c>
      <c r="K54" s="656" t="str">
        <f>'Звіт   4,5,6'!K86</f>
        <v>-</v>
      </c>
      <c r="L54" s="656" t="str">
        <f>'Звіт   4,5,6'!L86</f>
        <v>-</v>
      </c>
      <c r="M54" s="656" t="str">
        <f>'Звіт   4,5,6'!M86</f>
        <v>-</v>
      </c>
      <c r="N54" s="207">
        <f>'Звіт   4,5,6'!N86</f>
        <v>0</v>
      </c>
      <c r="O54" s="207">
        <f>'Звіт   4,5,6'!O86</f>
        <v>0</v>
      </c>
      <c r="P54" s="207">
        <f>'Звіт   4,5,6'!P86</f>
        <v>0</v>
      </c>
      <c r="Q54" s="207">
        <f>'Звіт   4,5,6'!Q86</f>
        <v>0</v>
      </c>
    </row>
    <row r="55" spans="1:17" ht="33.75" customHeight="1" thickBot="1" x14ac:dyDescent="0.4">
      <c r="A55" s="651" t="s">
        <v>1229</v>
      </c>
      <c r="B55" s="827" t="s">
        <v>1475</v>
      </c>
      <c r="C55" s="211">
        <f>'Звіт   4,5,6'!D87</f>
        <v>0</v>
      </c>
      <c r="D55" s="211">
        <f>'Звіт   4,5,6'!E87</f>
        <v>1513206</v>
      </c>
      <c r="E55" s="838">
        <f t="shared" si="0"/>
        <v>4.5856631017711944</v>
      </c>
      <c r="F55" s="62">
        <f>'Звіт   4,5,6'!F87</f>
        <v>0</v>
      </c>
      <c r="G55" s="62">
        <f>'Звіт   4,5,6'!G87</f>
        <v>1513206</v>
      </c>
      <c r="H55" s="62">
        <f>'Звіт   4,5,6'!H87</f>
        <v>0</v>
      </c>
      <c r="I55" s="212">
        <f>'Звіт   4,5,6'!I87</f>
        <v>0</v>
      </c>
      <c r="J55" s="62">
        <f>'Звіт   4,5,6'!J87</f>
        <v>0</v>
      </c>
      <c r="K55" s="62">
        <f>'Звіт   4,5,6'!K87</f>
        <v>0</v>
      </c>
      <c r="L55" s="62">
        <f>'Звіт   4,5,6'!L87</f>
        <v>0</v>
      </c>
      <c r="M55" s="62">
        <f>'Звіт   4,5,6'!M87</f>
        <v>0</v>
      </c>
      <c r="N55" s="62">
        <f>'Звіт   4,5,6'!N87</f>
        <v>0</v>
      </c>
      <c r="O55" s="62">
        <f>'Звіт   4,5,6'!O87</f>
        <v>0</v>
      </c>
      <c r="P55" s="62">
        <f>'Звіт   4,5,6'!P87</f>
        <v>0</v>
      </c>
      <c r="Q55" s="62">
        <f>'Звіт   4,5,6'!Q87</f>
        <v>0</v>
      </c>
    </row>
    <row r="56" spans="1:17" ht="33.75" customHeight="1" x14ac:dyDescent="0.35">
      <c r="A56" s="396" t="s">
        <v>1230</v>
      </c>
      <c r="B56" s="836" t="s">
        <v>1476</v>
      </c>
      <c r="C56" s="209">
        <f>'Звіт   4,5,6'!D88</f>
        <v>0</v>
      </c>
      <c r="D56" s="209">
        <f>'Звіт   4,5,6'!E88</f>
        <v>117974</v>
      </c>
      <c r="E56" s="838">
        <f t="shared" si="0"/>
        <v>0.35751181185400727</v>
      </c>
      <c r="F56" s="209">
        <f>'Звіт   4,5,6'!F88</f>
        <v>0</v>
      </c>
      <c r="G56" s="209">
        <f>'Звіт   4,5,6'!G88</f>
        <v>38549</v>
      </c>
      <c r="H56" s="209">
        <f>'Звіт   4,5,6'!H88</f>
        <v>0</v>
      </c>
      <c r="I56" s="209">
        <f>'Звіт   4,5,6'!I88</f>
        <v>0</v>
      </c>
      <c r="J56" s="209">
        <f>'Звіт   4,5,6'!J88</f>
        <v>0</v>
      </c>
      <c r="K56" s="209">
        <f>'Звіт   4,5,6'!K88</f>
        <v>0</v>
      </c>
      <c r="L56" s="209">
        <f>'Звіт   4,5,6'!L88</f>
        <v>0</v>
      </c>
      <c r="M56" s="209">
        <f>'Звіт   4,5,6'!M88</f>
        <v>0</v>
      </c>
      <c r="N56" s="209">
        <f>'Звіт   4,5,6'!N88</f>
        <v>0</v>
      </c>
      <c r="O56" s="209">
        <f>'Звіт   4,5,6'!O88</f>
        <v>79425</v>
      </c>
      <c r="P56" s="209">
        <f>'Звіт   4,5,6'!P88</f>
        <v>0</v>
      </c>
      <c r="Q56" s="209">
        <f>'Звіт   4,5,6'!Q88</f>
        <v>0</v>
      </c>
    </row>
    <row r="57" spans="1:17" ht="33.75" customHeight="1" x14ac:dyDescent="0.35">
      <c r="A57" s="213" t="s">
        <v>1231</v>
      </c>
      <c r="B57" s="793" t="s">
        <v>1477</v>
      </c>
      <c r="C57" s="48">
        <f>'Звіт   4,5,6'!D89</f>
        <v>0</v>
      </c>
      <c r="D57" s="48">
        <f>'Звіт   4,5,6'!E89</f>
        <v>38549</v>
      </c>
      <c r="E57" s="838">
        <f t="shared" si="0"/>
        <v>0.11682000131520612</v>
      </c>
      <c r="F57" s="207">
        <f>'Звіт   4,5,6'!F89</f>
        <v>0</v>
      </c>
      <c r="G57" s="207">
        <f>'Звіт   4,5,6'!G89</f>
        <v>38549</v>
      </c>
      <c r="H57" s="207">
        <f>'Звіт   4,5,6'!H89</f>
        <v>0</v>
      </c>
      <c r="I57" s="207">
        <f>'Звіт   4,5,6'!I89</f>
        <v>0</v>
      </c>
      <c r="J57" s="207">
        <f>'Звіт   4,5,6'!J89</f>
        <v>0</v>
      </c>
      <c r="K57" s="207">
        <f>'Звіт   4,5,6'!K89</f>
        <v>0</v>
      </c>
      <c r="L57" s="207">
        <f>'Звіт   4,5,6'!L89</f>
        <v>0</v>
      </c>
      <c r="M57" s="207">
        <f>'Звіт   4,5,6'!M89</f>
        <v>0</v>
      </c>
      <c r="N57" s="207">
        <f>'Звіт   4,5,6'!N89</f>
        <v>0</v>
      </c>
      <c r="O57" s="207">
        <f>'Звіт   4,5,6'!O89</f>
        <v>0</v>
      </c>
      <c r="P57" s="207">
        <f>'Звіт   4,5,6'!P89</f>
        <v>0</v>
      </c>
      <c r="Q57" s="207">
        <f>'Звіт   4,5,6'!Q89</f>
        <v>0</v>
      </c>
    </row>
    <row r="58" spans="1:17" ht="33.75" customHeight="1" x14ac:dyDescent="0.35">
      <c r="A58" s="213" t="s">
        <v>1232</v>
      </c>
      <c r="B58" s="793" t="s">
        <v>1478</v>
      </c>
      <c r="C58" s="48">
        <f>'Звіт   4,5,6'!D90</f>
        <v>0</v>
      </c>
      <c r="D58" s="48">
        <f>'Звіт   4,5,6'!E90</f>
        <v>79425</v>
      </c>
      <c r="E58" s="838">
        <f t="shared" si="0"/>
        <v>0.24069181053880115</v>
      </c>
      <c r="F58" s="207">
        <f>'Звіт   4,5,6'!F90</f>
        <v>0</v>
      </c>
      <c r="G58" s="207">
        <f>'Звіт   4,5,6'!G90</f>
        <v>0</v>
      </c>
      <c r="H58" s="207">
        <f>'Звіт   4,5,6'!H90</f>
        <v>0</v>
      </c>
      <c r="I58" s="207">
        <f>'Звіт   4,5,6'!I90</f>
        <v>0</v>
      </c>
      <c r="J58" s="207">
        <f>'Звіт   4,5,6'!J90</f>
        <v>0</v>
      </c>
      <c r="K58" s="207">
        <f>'Звіт   4,5,6'!K90</f>
        <v>0</v>
      </c>
      <c r="L58" s="207">
        <f>'Звіт   4,5,6'!L90</f>
        <v>0</v>
      </c>
      <c r="M58" s="207">
        <f>'Звіт   4,5,6'!M90</f>
        <v>0</v>
      </c>
      <c r="N58" s="207">
        <f>'Звіт   4,5,6'!N90</f>
        <v>0</v>
      </c>
      <c r="O58" s="207">
        <f>'Звіт   4,5,6'!O90</f>
        <v>79425</v>
      </c>
      <c r="P58" s="207">
        <f>'Звіт   4,5,6'!P90</f>
        <v>0</v>
      </c>
      <c r="Q58" s="207">
        <f>'Звіт   4,5,6'!Q90</f>
        <v>0</v>
      </c>
    </row>
    <row r="59" spans="1:17" ht="33.75" customHeight="1" thickBot="1" x14ac:dyDescent="0.4">
      <c r="A59" s="214" t="s">
        <v>1233</v>
      </c>
      <c r="B59" s="794" t="s">
        <v>1479</v>
      </c>
      <c r="C59" s="211">
        <f>'Звіт   4,5,6'!D91</f>
        <v>0</v>
      </c>
      <c r="D59" s="211">
        <f>'Звіт   4,5,6'!E91</f>
        <v>0</v>
      </c>
      <c r="E59" s="838">
        <f t="shared" si="0"/>
        <v>0</v>
      </c>
      <c r="F59" s="62">
        <f>'Звіт   4,5,6'!F91</f>
        <v>0</v>
      </c>
      <c r="G59" s="207">
        <f>'Звіт   4,5,6'!G91</f>
        <v>0</v>
      </c>
      <c r="H59" s="657" t="str">
        <f>'Звіт   4,5,6'!H91</f>
        <v>-</v>
      </c>
      <c r="I59" s="657" t="str">
        <f>'Звіт   4,5,6'!I91</f>
        <v>-</v>
      </c>
      <c r="J59" s="62">
        <f>'Звіт   4,5,6'!J91</f>
        <v>0</v>
      </c>
      <c r="K59" s="207">
        <f>'Звіт   4,5,6'!K91</f>
        <v>0</v>
      </c>
      <c r="L59" s="62">
        <f>'Звіт   4,5,6'!L91</f>
        <v>0</v>
      </c>
      <c r="M59" s="62">
        <f>'Звіт   4,5,6'!M91</f>
        <v>0</v>
      </c>
      <c r="N59" s="62">
        <f>'Звіт   4,5,6'!N91</f>
        <v>0</v>
      </c>
      <c r="O59" s="62">
        <f>'Звіт   4,5,6'!O91</f>
        <v>0</v>
      </c>
      <c r="P59" s="62">
        <f>'Звіт   4,5,6'!P91</f>
        <v>0</v>
      </c>
      <c r="Q59" s="62">
        <f>'Звіт   4,5,6'!Q91</f>
        <v>0</v>
      </c>
    </row>
    <row r="60" spans="1:17" ht="33.75" customHeight="1" thickBot="1" x14ac:dyDescent="0.4">
      <c r="A60" s="216" t="s">
        <v>185</v>
      </c>
      <c r="B60" s="837" t="s">
        <v>1078</v>
      </c>
      <c r="C60" s="217">
        <f>'Звіт   4,5,6'!D92</f>
        <v>0</v>
      </c>
      <c r="D60" s="217">
        <f>'Звіт   4,5,6'!E92</f>
        <v>0</v>
      </c>
      <c r="E60" s="838">
        <f t="shared" si="0"/>
        <v>0</v>
      </c>
      <c r="F60" s="218" t="str">
        <f>'Звіт   4,5,6'!F92</f>
        <v>-</v>
      </c>
      <c r="G60" s="218" t="str">
        <f>'Звіт   4,5,6'!G92</f>
        <v>-</v>
      </c>
      <c r="H60" s="218" t="str">
        <f>'Звіт   4,5,6'!H92</f>
        <v>-</v>
      </c>
      <c r="I60" s="218" t="str">
        <f>'Звіт   4,5,6'!I92</f>
        <v>-</v>
      </c>
      <c r="J60" s="218" t="str">
        <f>'Звіт   4,5,6'!J92</f>
        <v>-</v>
      </c>
      <c r="K60" s="218" t="str">
        <f>'Звіт   4,5,6'!K92</f>
        <v>-</v>
      </c>
      <c r="L60" s="218" t="str">
        <f>'Звіт   4,5,6'!L92</f>
        <v>-</v>
      </c>
      <c r="M60" s="218" t="str">
        <f>'Звіт   4,5,6'!M92</f>
        <v>-</v>
      </c>
      <c r="N60" s="218" t="str">
        <f>'Звіт   4,5,6'!N92</f>
        <v>-</v>
      </c>
      <c r="O60" s="218" t="str">
        <f>'Звіт   4,5,6'!O92</f>
        <v>-</v>
      </c>
      <c r="P60" s="218" t="str">
        <f>'Звіт   4,5,6'!P92</f>
        <v>-</v>
      </c>
      <c r="Q60" s="218" t="str">
        <f>'Звіт   4,5,6'!Q92</f>
        <v>-</v>
      </c>
    </row>
  </sheetData>
  <sheetProtection formatCells="0" formatColumns="0" formatRows="0"/>
  <mergeCells count="2">
    <mergeCell ref="A2:A3"/>
    <mergeCell ref="B2:B3"/>
  </mergeCells>
  <conditionalFormatting sqref="N12:O12 F12:I12 C13:D27 F13:Q27">
    <cfRule type="cellIs" dxfId="6" priority="2" operator="lessThan">
      <formula>0</formula>
    </cfRule>
  </conditionalFormatting>
  <conditionalFormatting sqref="C5:P5 P12 J12:M12 C28:D60 C6:D12 F6:P11 E6:E60 F28:Q60 Q5:Q12">
    <cfRule type="cellIs" dxfId="5" priority="1" operator="lessThan">
      <formula>0</formula>
    </cfRule>
  </conditionalFormatting>
  <pageMargins left="0" right="7.874015748031496E-2" top="0.19685039370078741" bottom="0" header="0.39370078740157483" footer="0"/>
  <pageSetup paperSize="9" scale="37" orientation="landscape" r:id="rId1"/>
  <headerFooter alignWithMargins="0">
    <oddFooter>&amp;RСтор.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3">
    <tabColor theme="9" tint="0.39997558519241921"/>
  </sheetPr>
  <dimension ref="A1:AP119"/>
  <sheetViews>
    <sheetView zoomScale="70" zoomScaleNormal="70" workbookViewId="0">
      <selection sqref="A1:M80"/>
    </sheetView>
  </sheetViews>
  <sheetFormatPr defaultColWidth="8.7109375" defaultRowHeight="18.75" x14ac:dyDescent="0.25"/>
  <cols>
    <col min="1" max="1" width="75.140625" style="21" customWidth="1"/>
    <col min="2" max="2" width="19.7109375" style="64" customWidth="1"/>
    <col min="3" max="3" width="20.140625" style="64" customWidth="1"/>
    <col min="4" max="4" width="24" style="64" customWidth="1"/>
    <col min="5" max="5" width="21.5703125" style="4" customWidth="1"/>
    <col min="6" max="6" width="21.28515625" style="4" customWidth="1"/>
    <col min="7" max="7" width="22.42578125" style="4" customWidth="1"/>
    <col min="8" max="8" width="26.7109375" style="14" customWidth="1"/>
    <col min="9" max="10" width="20.5703125" style="2" customWidth="1"/>
    <col min="11" max="11" width="42.85546875" style="2" customWidth="1"/>
    <col min="12" max="12" width="43" style="2" customWidth="1"/>
    <col min="13" max="13" width="34.85546875" style="2" customWidth="1"/>
    <col min="14" max="14" width="26.28515625" style="2" customWidth="1"/>
    <col min="15" max="15" width="19.5703125" style="2" customWidth="1"/>
    <col min="16" max="16" width="14.28515625" style="2" customWidth="1"/>
    <col min="17" max="17" width="19" style="2" customWidth="1"/>
    <col min="18" max="18" width="13" style="2" bestFit="1" customWidth="1"/>
    <col min="19" max="19" width="28.28515625" style="2" customWidth="1"/>
    <col min="20" max="20" width="14.28515625" style="2" customWidth="1"/>
    <col min="21" max="21" width="19.28515625" style="2" customWidth="1"/>
    <col min="22" max="23" width="14" style="2" customWidth="1"/>
    <col min="24" max="24" width="17" style="2" customWidth="1"/>
    <col min="25" max="25" width="14" style="2" customWidth="1"/>
    <col min="26" max="26" width="27.5703125" style="2" customWidth="1"/>
    <col min="27" max="27" width="14" style="2" customWidth="1"/>
    <col min="28" max="28" width="18.85546875" style="2" customWidth="1"/>
    <col min="29" max="29" width="17.7109375" style="2" customWidth="1"/>
    <col min="30" max="30" width="15.85546875" style="2" customWidth="1"/>
    <col min="31" max="31" width="20.140625" style="2" customWidth="1"/>
    <col min="32" max="32" width="15.85546875" style="2" customWidth="1"/>
    <col min="33" max="33" width="32.5703125" style="2" customWidth="1"/>
    <col min="34" max="34" width="20.7109375" style="2" customWidth="1"/>
    <col min="35" max="35" width="20.7109375" style="2" bestFit="1" customWidth="1"/>
    <col min="36" max="36" width="20.5703125" style="2" customWidth="1"/>
    <col min="37" max="37" width="15.28515625" style="2" customWidth="1"/>
    <col min="38" max="38" width="18.28515625" style="2" customWidth="1"/>
    <col min="39" max="39" width="16.28515625" style="2" customWidth="1"/>
    <col min="40" max="40" width="28.5703125" style="2" customWidth="1"/>
    <col min="41" max="41" width="24.5703125" style="2" customWidth="1"/>
    <col min="42" max="42" width="18.28515625" style="2" customWidth="1"/>
    <col min="43" max="224" width="8.7109375" style="2"/>
    <col min="225" max="225" width="78.5703125" style="2" customWidth="1"/>
    <col min="226" max="228" width="19.42578125" style="2" customWidth="1"/>
    <col min="229" max="16384" width="8.7109375" style="2"/>
  </cols>
  <sheetData>
    <row r="1" spans="1:42" s="9" customFormat="1" ht="89.25" customHeight="1" thickBot="1" x14ac:dyDescent="0.3">
      <c r="A1" s="1372" t="s">
        <v>7</v>
      </c>
      <c r="B1" s="1368" t="s">
        <v>261</v>
      </c>
      <c r="C1" s="1369" t="s">
        <v>33</v>
      </c>
      <c r="D1" s="1369" t="s">
        <v>34</v>
      </c>
      <c r="E1" s="1369" t="s">
        <v>15</v>
      </c>
      <c r="F1" s="1369" t="s">
        <v>433</v>
      </c>
      <c r="G1" s="1369" t="s">
        <v>17</v>
      </c>
      <c r="H1" s="1369" t="s">
        <v>224</v>
      </c>
      <c r="I1" s="1369" t="s">
        <v>18</v>
      </c>
      <c r="J1" s="1367" t="str">
        <f>'Звіт  7,8'!O18</f>
        <v>Кількість відпрацьованих людино - годин на 1 працівника</v>
      </c>
      <c r="K1" s="1371" t="s">
        <v>890</v>
      </c>
      <c r="L1" s="434" t="s">
        <v>891</v>
      </c>
      <c r="M1" s="434" t="s">
        <v>892</v>
      </c>
      <c r="N1" s="434" t="s">
        <v>893</v>
      </c>
      <c r="O1" s="441" t="s">
        <v>901</v>
      </c>
      <c r="P1" s="442" t="s">
        <v>902</v>
      </c>
      <c r="Q1" s="442" t="s">
        <v>903</v>
      </c>
      <c r="R1" s="442" t="s">
        <v>904</v>
      </c>
      <c r="S1" s="442" t="s">
        <v>905</v>
      </c>
      <c r="T1" s="442" t="s">
        <v>906</v>
      </c>
      <c r="U1" s="442" t="s">
        <v>907</v>
      </c>
      <c r="V1" s="439" t="s">
        <v>894</v>
      </c>
      <c r="W1" s="440" t="s">
        <v>895</v>
      </c>
      <c r="X1" s="440" t="s">
        <v>896</v>
      </c>
      <c r="Y1" s="440" t="s">
        <v>897</v>
      </c>
      <c r="Z1" s="440" t="s">
        <v>898</v>
      </c>
      <c r="AA1" s="440" t="s">
        <v>899</v>
      </c>
      <c r="AB1" s="440" t="s">
        <v>900</v>
      </c>
      <c r="AC1" s="444" t="s">
        <v>908</v>
      </c>
      <c r="AD1" s="437" t="s">
        <v>909</v>
      </c>
      <c r="AE1" s="437" t="s">
        <v>910</v>
      </c>
      <c r="AF1" s="437" t="s">
        <v>911</v>
      </c>
      <c r="AG1" s="437" t="s">
        <v>912</v>
      </c>
      <c r="AH1" s="437" t="s">
        <v>913</v>
      </c>
      <c r="AI1" s="437" t="s">
        <v>914</v>
      </c>
      <c r="AJ1" s="447" t="s">
        <v>916</v>
      </c>
      <c r="AK1" s="438" t="s">
        <v>917</v>
      </c>
      <c r="AL1" s="438" t="s">
        <v>918</v>
      </c>
      <c r="AM1" s="438" t="s">
        <v>919</v>
      </c>
      <c r="AN1" s="438" t="s">
        <v>920</v>
      </c>
      <c r="AO1" s="438" t="s">
        <v>921</v>
      </c>
      <c r="AP1" s="438" t="s">
        <v>922</v>
      </c>
    </row>
    <row r="2" spans="1:42" ht="29.1" customHeight="1" x14ac:dyDescent="0.25">
      <c r="A2" s="468" t="s">
        <v>875</v>
      </c>
      <c r="B2" s="425">
        <f>'Звіт  7,8'!E21</f>
        <v>577</v>
      </c>
      <c r="C2" s="425">
        <f>'Звіт  7,8'!F21</f>
        <v>2</v>
      </c>
      <c r="D2" s="425">
        <f>'Звіт  7,8'!G21+'Звіт  7,8'!H21</f>
        <v>36</v>
      </c>
      <c r="E2" s="425">
        <f>'Звіт  7,8'!I21</f>
        <v>71</v>
      </c>
      <c r="F2" s="425">
        <f>'Звіт  7,8'!J21</f>
        <v>190</v>
      </c>
      <c r="G2" s="425">
        <f>'Звіт  7,8'!K21</f>
        <v>119</v>
      </c>
      <c r="H2" s="425">
        <f>'Звіт  7,8'!L21+'Звіт  7,8'!M21</f>
        <v>159</v>
      </c>
      <c r="I2" s="1370" t="s">
        <v>296</v>
      </c>
      <c r="J2" s="1373">
        <f>'Звіт  7,8'!O21</f>
        <v>440.94627383015597</v>
      </c>
      <c r="K2" s="435">
        <f>'Звіт  7,8'!G21</f>
        <v>18</v>
      </c>
      <c r="L2" s="435">
        <f>'Звіт  7,8'!H21</f>
        <v>18</v>
      </c>
      <c r="M2" s="435">
        <f>'Звіт  7,8'!L21</f>
        <v>153</v>
      </c>
      <c r="N2" s="435">
        <f>'Звіт  7,8'!M21</f>
        <v>6</v>
      </c>
      <c r="O2" s="443">
        <f>'Звіт  7,8'!F9</f>
        <v>16891504</v>
      </c>
      <c r="P2" s="443">
        <f>'Звіт  7,8'!F10</f>
        <v>139369</v>
      </c>
      <c r="Q2" s="443">
        <f>'Звіт  7,8'!F11</f>
        <v>1352141</v>
      </c>
      <c r="R2" s="443">
        <f>'Звіт  7,8'!F12</f>
        <v>3009322</v>
      </c>
      <c r="S2" s="443">
        <f>'Звіт  7,8'!F13</f>
        <v>6019831</v>
      </c>
      <c r="T2" s="443">
        <f>'Звіт  7,8'!F14</f>
        <v>2691107</v>
      </c>
      <c r="U2" s="443">
        <f>'Звіт  7,8'!F15</f>
        <v>3679734</v>
      </c>
      <c r="V2" s="435">
        <f>'Звіт  7,8'!E21</f>
        <v>577</v>
      </c>
      <c r="W2" s="435">
        <f>'Звіт  7,8'!F21</f>
        <v>2</v>
      </c>
      <c r="X2" s="435">
        <f>'Звіт  7,8'!G21+'Звіт  7,8'!H21</f>
        <v>36</v>
      </c>
      <c r="Y2" s="435">
        <f>'Звіт  7,8'!I21</f>
        <v>71</v>
      </c>
      <c r="Z2" s="435">
        <f>'Звіт  7,8'!J21</f>
        <v>190</v>
      </c>
      <c r="AA2" s="435">
        <f>'Звіт  7,8'!K21</f>
        <v>119</v>
      </c>
      <c r="AB2" s="435">
        <f>'Звіт  7,8'!L21+'Звіт  7,8'!M21</f>
        <v>159</v>
      </c>
      <c r="AC2" s="446">
        <f>'Звіт  7,8'!E29</f>
        <v>9758.2345465049093</v>
      </c>
      <c r="AD2" s="446">
        <f>'Звіт  7,8'!F29</f>
        <v>23228.166666666668</v>
      </c>
      <c r="AE2" s="446">
        <f>'Звіт  7,8'!G29</f>
        <v>12519.824074074073</v>
      </c>
      <c r="AF2" s="446">
        <f>'Звіт  7,8'!H29</f>
        <v>14128.272300469484</v>
      </c>
      <c r="AG2" s="446">
        <f>'Звіт  7,8'!I29</f>
        <v>10561.10701754386</v>
      </c>
      <c r="AH2" s="446">
        <f>'Звіт  7,8'!J29</f>
        <v>7538.1148459383758</v>
      </c>
      <c r="AI2" s="446">
        <f>'Звіт  7,8'!K29</f>
        <v>7714.3270440251572</v>
      </c>
      <c r="AJ2" s="446">
        <f t="shared" ref="AJ2:AP2" si="0">AC2*V2</f>
        <v>5630501.333333333</v>
      </c>
      <c r="AK2" s="446">
        <f t="shared" si="0"/>
        <v>46456.333333333336</v>
      </c>
      <c r="AL2" s="446">
        <f t="shared" si="0"/>
        <v>450713.66666666663</v>
      </c>
      <c r="AM2" s="446">
        <f t="shared" si="0"/>
        <v>1003107.3333333334</v>
      </c>
      <c r="AN2" s="446">
        <f t="shared" si="0"/>
        <v>2006610.3333333335</v>
      </c>
      <c r="AO2" s="446">
        <f t="shared" si="0"/>
        <v>897035.66666666674</v>
      </c>
      <c r="AP2" s="446">
        <f t="shared" si="0"/>
        <v>1226578</v>
      </c>
    </row>
    <row r="3" spans="1:42" ht="29.1" customHeight="1" x14ac:dyDescent="0.25">
      <c r="A3" s="468" t="s">
        <v>889</v>
      </c>
      <c r="B3" s="425">
        <f>'Звіт  7,8'!E22</f>
        <v>569</v>
      </c>
      <c r="C3" s="425">
        <f>'Звіт  7,8'!F22</f>
        <v>2</v>
      </c>
      <c r="D3" s="425">
        <f>'Звіт  7,8'!G22+'Звіт  7,8'!H22</f>
        <v>36</v>
      </c>
      <c r="E3" s="425">
        <f>'Звіт  7,8'!I22</f>
        <v>65</v>
      </c>
      <c r="F3" s="425">
        <f>'Звіт  7,8'!J22</f>
        <v>190</v>
      </c>
      <c r="G3" s="425">
        <f>'Звіт  7,8'!K22</f>
        <v>118</v>
      </c>
      <c r="H3" s="425">
        <f>'Звіт  7,8'!L22+'Звіт  7,8'!M22</f>
        <v>158</v>
      </c>
      <c r="I3" s="1370" t="s">
        <v>296</v>
      </c>
      <c r="J3" s="1373">
        <f>'Звіт  7,8'!O22</f>
        <v>444.79613356766259</v>
      </c>
      <c r="K3" s="435">
        <f>'Звіт  7,8'!G22</f>
        <v>18</v>
      </c>
      <c r="L3" s="435">
        <f>'Звіт  7,8'!H22</f>
        <v>18</v>
      </c>
      <c r="M3" s="435">
        <f>'Звіт  7,8'!L22</f>
        <v>152</v>
      </c>
      <c r="N3" s="435">
        <f>'Звіт  7,8'!M22</f>
        <v>6</v>
      </c>
      <c r="O3" s="443"/>
      <c r="P3" s="443"/>
      <c r="Q3" s="443"/>
      <c r="R3" s="443"/>
      <c r="S3" s="443"/>
      <c r="T3" s="443"/>
      <c r="U3" s="443"/>
      <c r="V3" s="435"/>
      <c r="W3" s="435"/>
      <c r="X3" s="435"/>
      <c r="Y3" s="435"/>
      <c r="Z3" s="435"/>
      <c r="AA3" s="435"/>
      <c r="AB3" s="435"/>
      <c r="AC3" s="446"/>
      <c r="AD3" s="446"/>
      <c r="AE3" s="446"/>
      <c r="AF3" s="446"/>
      <c r="AG3" s="446"/>
      <c r="AH3" s="446"/>
      <c r="AI3" s="446"/>
    </row>
    <row r="4" spans="1:42" ht="29.1" customHeight="1" x14ac:dyDescent="0.25">
      <c r="A4" s="468" t="s">
        <v>876</v>
      </c>
      <c r="B4" s="425">
        <f>'Звіт  7,8'!E23</f>
        <v>8</v>
      </c>
      <c r="C4" s="425">
        <f>'Звіт  7,8'!F23</f>
        <v>0</v>
      </c>
      <c r="D4" s="425">
        <f>'Звіт  7,8'!G23+'Звіт  7,8'!H23</f>
        <v>0</v>
      </c>
      <c r="E4" s="425">
        <f>'Звіт  7,8'!I23</f>
        <v>6</v>
      </c>
      <c r="F4" s="425">
        <f>'Звіт  7,8'!J23</f>
        <v>0</v>
      </c>
      <c r="G4" s="425">
        <f>'Звіт  7,8'!K23</f>
        <v>1</v>
      </c>
      <c r="H4" s="425">
        <f>'Звіт  7,8'!L23+'Звіт  7,8'!M23</f>
        <v>1</v>
      </c>
      <c r="I4" s="1370" t="s">
        <v>296</v>
      </c>
      <c r="J4" s="1373">
        <f>'Звіт  7,8'!O23</f>
        <v>167.125</v>
      </c>
      <c r="K4" s="435">
        <f>'Звіт  7,8'!G23</f>
        <v>0</v>
      </c>
      <c r="L4" s="435">
        <f>'Звіт  7,8'!H23</f>
        <v>0</v>
      </c>
      <c r="M4" s="435">
        <f>'Звіт  7,8'!L23</f>
        <v>1</v>
      </c>
      <c r="N4" s="435">
        <f>'Звіт  7,8'!M23</f>
        <v>0</v>
      </c>
    </row>
    <row r="5" spans="1:42" s="12" customFormat="1" ht="44.65" customHeight="1" thickBot="1" x14ac:dyDescent="0.3">
      <c r="A5" s="469" t="s">
        <v>877</v>
      </c>
      <c r="B5" s="423">
        <f>'Звіт  7,8'!E24</f>
        <v>0</v>
      </c>
      <c r="C5" s="423">
        <f>'Звіт  7,8'!F24</f>
        <v>0</v>
      </c>
      <c r="D5" s="423">
        <f>'Звіт  7,8'!G24+'Звіт  7,8'!H24</f>
        <v>0</v>
      </c>
      <c r="E5" s="423">
        <f>'Звіт  7,8'!I24</f>
        <v>0</v>
      </c>
      <c r="F5" s="423">
        <f>'Звіт  7,8'!J24</f>
        <v>0</v>
      </c>
      <c r="G5" s="423">
        <f>'Звіт  7,8'!K24</f>
        <v>0</v>
      </c>
      <c r="H5" s="423">
        <f>'Звіт  7,8'!L24+'Звіт  7,8'!M24</f>
        <v>0</v>
      </c>
      <c r="I5" s="1374" t="s">
        <v>296</v>
      </c>
      <c r="J5" s="1375" t="e">
        <f>'Звіт  7,8'!O24</f>
        <v>#DIV/0!</v>
      </c>
      <c r="K5" s="435">
        <f>'Звіт  7,8'!G24</f>
        <v>0</v>
      </c>
      <c r="L5" s="435">
        <f>'Звіт  7,8'!H24</f>
        <v>0</v>
      </c>
      <c r="M5" s="435">
        <f>'Звіт  7,8'!L24</f>
        <v>0</v>
      </c>
      <c r="N5" s="435">
        <f>'Звіт  7,8'!M24</f>
        <v>0</v>
      </c>
    </row>
    <row r="6" spans="1:42" s="9" customFormat="1" ht="39.75" customHeight="1" x14ac:dyDescent="0.3">
      <c r="A6" s="470" t="s">
        <v>884</v>
      </c>
      <c r="B6" s="426">
        <f>'Звіт  7,8'!F9</f>
        <v>16891504</v>
      </c>
      <c r="C6" s="426">
        <f>'Звіт  7,8'!F10</f>
        <v>139369</v>
      </c>
      <c r="D6" s="427">
        <f>'Звіт  7,8'!F11</f>
        <v>1352141</v>
      </c>
      <c r="E6" s="428">
        <f>'Звіт  7,8'!F12</f>
        <v>3009322</v>
      </c>
      <c r="F6" s="428">
        <f>'Звіт  7,8'!F13</f>
        <v>6019831</v>
      </c>
      <c r="G6" s="428">
        <f>'Звіт  7,8'!F14</f>
        <v>2691107</v>
      </c>
      <c r="H6" s="427">
        <f>'Звіт  7,8'!F15</f>
        <v>3679734</v>
      </c>
      <c r="I6" s="432">
        <f>'Звіт  7,8'!F16</f>
        <v>3761579</v>
      </c>
      <c r="J6" s="511"/>
      <c r="K6" s="436"/>
      <c r="M6" s="436"/>
    </row>
    <row r="7" spans="1:42" s="9" customFormat="1" ht="35.25" customHeight="1" x14ac:dyDescent="0.3">
      <c r="A7" s="468" t="s">
        <v>885</v>
      </c>
      <c r="B7" s="419">
        <f>'Звіт  7,8'!H9</f>
        <v>15435982</v>
      </c>
      <c r="C7" s="419">
        <f>'Звіт  7,8'!H10</f>
        <v>0</v>
      </c>
      <c r="D7" s="420">
        <f>'Звіт  7,8'!H11</f>
        <v>897815</v>
      </c>
      <c r="E7" s="417">
        <f>'Звіт  7,8'!H12</f>
        <v>3009322</v>
      </c>
      <c r="F7" s="417">
        <f>'Звіт  7,8'!H13</f>
        <v>6019831</v>
      </c>
      <c r="G7" s="417">
        <f>'Звіт  7,8'!H14</f>
        <v>2691107</v>
      </c>
      <c r="H7" s="420">
        <f>'Звіт  7,8'!H15</f>
        <v>2817907</v>
      </c>
      <c r="I7" s="424">
        <f>'Звіт  7,8'!H16</f>
        <v>3427236</v>
      </c>
      <c r="J7" s="511"/>
      <c r="K7" s="436"/>
      <c r="M7" s="436"/>
    </row>
    <row r="8" spans="1:42" s="9" customFormat="1" ht="35.25" customHeight="1" x14ac:dyDescent="0.3">
      <c r="A8" s="468" t="s">
        <v>886</v>
      </c>
      <c r="B8" s="419">
        <f>'Звіт  7,8'!J9</f>
        <v>1455522</v>
      </c>
      <c r="C8" s="419">
        <f>'Звіт  7,8'!J10</f>
        <v>139369</v>
      </c>
      <c r="D8" s="420">
        <f>'Звіт  7,8'!J11</f>
        <v>454326</v>
      </c>
      <c r="E8" s="433" t="s">
        <v>296</v>
      </c>
      <c r="F8" s="433" t="s">
        <v>296</v>
      </c>
      <c r="G8" s="433" t="s">
        <v>296</v>
      </c>
      <c r="H8" s="420">
        <f>'Звіт  7,8'!J15</f>
        <v>861827</v>
      </c>
      <c r="I8" s="424">
        <f>'Звіт  7,8'!J16</f>
        <v>334343</v>
      </c>
      <c r="J8" s="511"/>
      <c r="K8" s="436"/>
      <c r="M8" s="436"/>
    </row>
    <row r="9" spans="1:42" s="9" customFormat="1" ht="35.25" customHeight="1" x14ac:dyDescent="0.3">
      <c r="A9" s="468" t="s">
        <v>887</v>
      </c>
      <c r="B9" s="419">
        <f>'Звіт  7,8'!L9</f>
        <v>0</v>
      </c>
      <c r="C9" s="419">
        <f>'Звіт  7,8'!L10</f>
        <v>0</v>
      </c>
      <c r="D9" s="420">
        <f>'Звіт  7,8'!L11</f>
        <v>0</v>
      </c>
      <c r="E9" s="433" t="s">
        <v>296</v>
      </c>
      <c r="F9" s="433" t="s">
        <v>296</v>
      </c>
      <c r="G9" s="433" t="s">
        <v>296</v>
      </c>
      <c r="H9" s="420">
        <f>'Звіт  7,8'!L15</f>
        <v>0</v>
      </c>
      <c r="I9" s="424">
        <f>'Звіт  7,8'!L16</f>
        <v>0</v>
      </c>
      <c r="J9" s="511"/>
    </row>
    <row r="10" spans="1:42" s="9" customFormat="1" ht="42" customHeight="1" x14ac:dyDescent="0.3">
      <c r="A10" s="468" t="s">
        <v>1429</v>
      </c>
      <c r="B10" s="419">
        <f>'Звіт  7,8'!N9</f>
        <v>0</v>
      </c>
      <c r="C10" s="419">
        <f>'Звіт  7,8'!N10</f>
        <v>0</v>
      </c>
      <c r="D10" s="420">
        <f>'Звіт  7,8'!N11</f>
        <v>0</v>
      </c>
      <c r="E10" s="417">
        <f>'Звіт  7,8'!N12</f>
        <v>0</v>
      </c>
      <c r="F10" s="417">
        <f>'Звіт  7,8'!N13</f>
        <v>0</v>
      </c>
      <c r="G10" s="417">
        <f>'Звіт  7,8'!N14</f>
        <v>0</v>
      </c>
      <c r="H10" s="420">
        <f>'Звіт  7,8'!N15</f>
        <v>0</v>
      </c>
      <c r="I10" s="424">
        <f>'Звіт  7,8'!N16</f>
        <v>0</v>
      </c>
      <c r="J10" s="511"/>
    </row>
    <row r="11" spans="1:42" s="9" customFormat="1" ht="35.25" customHeight="1" thickBot="1" x14ac:dyDescent="0.35">
      <c r="A11" s="469" t="s">
        <v>888</v>
      </c>
      <c r="B11" s="421">
        <f>'Звіт  7,8'!P9</f>
        <v>0</v>
      </c>
      <c r="C11" s="421">
        <f>'Звіт  7,8'!P10</f>
        <v>0</v>
      </c>
      <c r="D11" s="429">
        <f>'Звіт  7,8'!P11</f>
        <v>0</v>
      </c>
      <c r="E11" s="422">
        <f>'Звіт  7,8'!P12</f>
        <v>0</v>
      </c>
      <c r="F11" s="422">
        <f>'Звіт  7,8'!P13</f>
        <v>0</v>
      </c>
      <c r="G11" s="422">
        <f>'Звіт  7,8'!P14</f>
        <v>0</v>
      </c>
      <c r="H11" s="429">
        <f>'Звіт  7,8'!P15</f>
        <v>0</v>
      </c>
      <c r="I11" s="430">
        <f>'Звіт  7,8'!P16</f>
        <v>0</v>
      </c>
      <c r="J11" s="511"/>
    </row>
    <row r="12" spans="1:42" s="12" customFormat="1" ht="34.5" customHeight="1" thickBot="1" x14ac:dyDescent="0.3">
      <c r="A12" s="471" t="s">
        <v>915</v>
      </c>
      <c r="B12" s="445">
        <f>'Звіт  7,8'!E29</f>
        <v>9758.2345465049093</v>
      </c>
      <c r="C12" s="445">
        <f>'Звіт  7,8'!F29</f>
        <v>23228.166666666668</v>
      </c>
      <c r="D12" s="445">
        <f>'Звіт  7,8'!G29</f>
        <v>12519.824074074073</v>
      </c>
      <c r="E12" s="445">
        <f>'Звіт  7,8'!H29</f>
        <v>14128.272300469484</v>
      </c>
      <c r="F12" s="445">
        <f>'Звіт  7,8'!I29</f>
        <v>10561.10701754386</v>
      </c>
      <c r="G12" s="445">
        <f>'Звіт  7,8'!J29</f>
        <v>7538.1148459383758</v>
      </c>
      <c r="H12" s="445">
        <f>'Звіт  7,8'!K29</f>
        <v>7714.3270440251572</v>
      </c>
      <c r="I12" s="431" t="s">
        <v>296</v>
      </c>
      <c r="J12" s="141"/>
    </row>
    <row r="13" spans="1:42" s="9" customFormat="1" ht="39" customHeight="1" x14ac:dyDescent="0.3">
      <c r="A13" s="467" t="s">
        <v>878</v>
      </c>
      <c r="B13" s="426">
        <f>'Звіт  7,8'!E9</f>
        <v>0</v>
      </c>
      <c r="C13" s="426">
        <f>'Звіт  7,8'!E10</f>
        <v>0</v>
      </c>
      <c r="D13" s="427">
        <f>'Звіт  7,8'!E11</f>
        <v>0</v>
      </c>
      <c r="E13" s="428">
        <f>'Звіт  7,8'!E12</f>
        <v>0</v>
      </c>
      <c r="F13" s="428">
        <f>'Звіт  7,8'!E13</f>
        <v>0</v>
      </c>
      <c r="G13" s="428">
        <f>'Звіт  7,8'!E14</f>
        <v>0</v>
      </c>
      <c r="H13" s="427">
        <f>'Звіт  7,8'!E15</f>
        <v>0</v>
      </c>
      <c r="I13" s="432">
        <f>'Звіт  7,8'!E16</f>
        <v>0</v>
      </c>
      <c r="J13" s="511"/>
    </row>
    <row r="14" spans="1:42" s="9" customFormat="1" ht="36" customHeight="1" x14ac:dyDescent="0.3">
      <c r="A14" s="468" t="s">
        <v>879</v>
      </c>
      <c r="B14" s="419">
        <f>'Звіт  7,8'!G9</f>
        <v>0</v>
      </c>
      <c r="C14" s="419">
        <f>'Звіт  7,8'!G10</f>
        <v>0</v>
      </c>
      <c r="D14" s="420">
        <f>'Звіт  7,8'!G11</f>
        <v>0</v>
      </c>
      <c r="E14" s="417">
        <f>'Звіт  7,8'!G12</f>
        <v>0</v>
      </c>
      <c r="F14" s="417">
        <f>'Звіт  7,8'!G13</f>
        <v>0</v>
      </c>
      <c r="G14" s="417">
        <f>'Звіт  7,8'!G14</f>
        <v>0</v>
      </c>
      <c r="H14" s="420">
        <f>'Звіт  7,8'!G15</f>
        <v>0</v>
      </c>
      <c r="I14" s="424">
        <f>'Звіт  7,8'!G16</f>
        <v>0</v>
      </c>
      <c r="J14" s="511"/>
    </row>
    <row r="15" spans="1:42" s="9" customFormat="1" ht="36" customHeight="1" x14ac:dyDescent="0.3">
      <c r="A15" s="468" t="s">
        <v>880</v>
      </c>
      <c r="B15" s="419">
        <f>'Звіт  7,8'!I9</f>
        <v>0</v>
      </c>
      <c r="C15" s="419">
        <f>'Звіт  7,8'!I10</f>
        <v>0</v>
      </c>
      <c r="D15" s="420">
        <f>'Звіт  7,8'!I11</f>
        <v>0</v>
      </c>
      <c r="E15" s="433" t="s">
        <v>296</v>
      </c>
      <c r="F15" s="433" t="s">
        <v>296</v>
      </c>
      <c r="G15" s="433" t="s">
        <v>296</v>
      </c>
      <c r="H15" s="420">
        <f>'Звіт  7,8'!I15</f>
        <v>0</v>
      </c>
      <c r="I15" s="424">
        <f>'Звіт  7,8'!I16</f>
        <v>0</v>
      </c>
      <c r="J15" s="511"/>
    </row>
    <row r="16" spans="1:42" s="9" customFormat="1" ht="36" customHeight="1" x14ac:dyDescent="0.3">
      <c r="A16" s="468" t="s">
        <v>881</v>
      </c>
      <c r="B16" s="419">
        <f>'Звіт  7,8'!K9</f>
        <v>0</v>
      </c>
      <c r="C16" s="419">
        <f>'Звіт  7,8'!K10</f>
        <v>0</v>
      </c>
      <c r="D16" s="420">
        <f>'Звіт  7,8'!K11</f>
        <v>0</v>
      </c>
      <c r="E16" s="433" t="s">
        <v>296</v>
      </c>
      <c r="F16" s="433" t="s">
        <v>296</v>
      </c>
      <c r="G16" s="433" t="s">
        <v>296</v>
      </c>
      <c r="H16" s="420">
        <f>'Звіт  7,8'!K15</f>
        <v>0</v>
      </c>
      <c r="I16" s="424">
        <f>'Звіт  7,8'!K16</f>
        <v>0</v>
      </c>
      <c r="J16" s="511"/>
    </row>
    <row r="17" spans="1:10" s="9" customFormat="1" ht="48" customHeight="1" x14ac:dyDescent="0.3">
      <c r="A17" s="468" t="s">
        <v>882</v>
      </c>
      <c r="B17" s="419">
        <f>'Звіт  7,8'!M9</f>
        <v>0</v>
      </c>
      <c r="C17" s="419">
        <f>'Звіт  7,8'!M10</f>
        <v>0</v>
      </c>
      <c r="D17" s="420">
        <f>'Звіт  7,8'!M11</f>
        <v>0</v>
      </c>
      <c r="E17" s="417">
        <f>'Звіт  7,8'!M12</f>
        <v>0</v>
      </c>
      <c r="F17" s="417">
        <f>'Звіт  7,8'!M13</f>
        <v>0</v>
      </c>
      <c r="G17" s="417">
        <f>'Звіт  7,8'!M14</f>
        <v>0</v>
      </c>
      <c r="H17" s="420">
        <f>'Звіт  7,8'!M15</f>
        <v>0</v>
      </c>
      <c r="I17" s="424">
        <f>'Звіт  7,8'!M16</f>
        <v>0</v>
      </c>
      <c r="J17" s="511"/>
    </row>
    <row r="18" spans="1:10" s="9" customFormat="1" ht="36" customHeight="1" thickBot="1" x14ac:dyDescent="0.35">
      <c r="A18" s="469" t="s">
        <v>883</v>
      </c>
      <c r="B18" s="421">
        <f>'Звіт  7,8'!O9</f>
        <v>0</v>
      </c>
      <c r="C18" s="421">
        <f>'Звіт  7,8'!O10</f>
        <v>0</v>
      </c>
      <c r="D18" s="429">
        <f>'Звіт  7,8'!O11</f>
        <v>0</v>
      </c>
      <c r="E18" s="422">
        <f>'Звіт  7,8'!O12</f>
        <v>0</v>
      </c>
      <c r="F18" s="422">
        <f>'Звіт  7,8'!O13</f>
        <v>0</v>
      </c>
      <c r="G18" s="422">
        <f>'Звіт  7,8'!O14</f>
        <v>0</v>
      </c>
      <c r="H18" s="429">
        <f>'Звіт  7,8'!O15</f>
        <v>0</v>
      </c>
      <c r="I18" s="430">
        <f>'Звіт  7,8'!O16</f>
        <v>0</v>
      </c>
      <c r="J18" s="511"/>
    </row>
    <row r="19" spans="1:10" s="87" customFormat="1" x14ac:dyDescent="0.25">
      <c r="A19" s="113"/>
      <c r="B19" s="88"/>
      <c r="C19" s="88"/>
      <c r="D19" s="88"/>
      <c r="E19" s="84"/>
      <c r="F19" s="84"/>
      <c r="G19" s="84"/>
      <c r="I19" s="84"/>
      <c r="J19" s="84"/>
    </row>
    <row r="20" spans="1:10" s="87" customFormat="1" x14ac:dyDescent="0.25">
      <c r="A20" s="113"/>
      <c r="B20" s="88"/>
      <c r="C20" s="88"/>
      <c r="D20" s="88"/>
      <c r="E20" s="84"/>
      <c r="F20" s="84"/>
      <c r="G20" s="84"/>
      <c r="I20" s="84"/>
      <c r="J20" s="84"/>
    </row>
    <row r="21" spans="1:10" s="87" customFormat="1" x14ac:dyDescent="0.25">
      <c r="A21" s="113"/>
      <c r="B21" s="88"/>
      <c r="C21" s="88"/>
      <c r="D21" s="88"/>
      <c r="E21" s="84"/>
      <c r="F21" s="84"/>
      <c r="G21" s="84"/>
      <c r="I21" s="84"/>
      <c r="J21" s="84"/>
    </row>
    <row r="22" spans="1:10" s="87" customFormat="1" x14ac:dyDescent="0.25">
      <c r="A22" s="113"/>
      <c r="B22" s="88"/>
      <c r="C22" s="88"/>
      <c r="D22" s="88"/>
      <c r="E22" s="84"/>
      <c r="F22" s="84"/>
      <c r="G22" s="84"/>
      <c r="I22" s="84"/>
      <c r="J22" s="84"/>
    </row>
    <row r="23" spans="1:10" s="87" customFormat="1" x14ac:dyDescent="0.25">
      <c r="A23" s="113"/>
      <c r="B23" s="88"/>
      <c r="C23" s="88"/>
      <c r="D23" s="88"/>
      <c r="E23" s="84"/>
      <c r="F23" s="84"/>
      <c r="G23" s="84"/>
      <c r="I23" s="84"/>
      <c r="J23" s="84"/>
    </row>
    <row r="24" spans="1:10" s="84" customFormat="1" x14ac:dyDescent="0.25">
      <c r="A24" s="113"/>
      <c r="B24" s="88"/>
      <c r="C24" s="88"/>
      <c r="D24" s="88"/>
      <c r="E24" s="89"/>
      <c r="F24" s="89"/>
      <c r="G24" s="89"/>
      <c r="H24" s="111"/>
    </row>
    <row r="25" spans="1:10" s="84" customFormat="1" x14ac:dyDescent="0.25">
      <c r="A25" s="113"/>
      <c r="B25" s="88"/>
      <c r="C25" s="88"/>
      <c r="D25" s="88"/>
      <c r="E25" s="89"/>
      <c r="F25" s="89"/>
      <c r="G25" s="89"/>
      <c r="H25" s="111"/>
    </row>
    <row r="26" spans="1:10" s="84" customFormat="1" x14ac:dyDescent="0.25">
      <c r="A26" s="113"/>
      <c r="B26" s="88"/>
      <c r="C26" s="88"/>
      <c r="D26" s="88"/>
      <c r="E26" s="89"/>
      <c r="F26" s="89"/>
      <c r="G26" s="89"/>
      <c r="H26" s="111"/>
    </row>
    <row r="27" spans="1:10" s="84" customFormat="1" x14ac:dyDescent="0.25">
      <c r="A27" s="113"/>
      <c r="B27" s="88"/>
      <c r="C27" s="88"/>
      <c r="D27" s="88"/>
      <c r="E27" s="89"/>
      <c r="F27" s="89"/>
      <c r="G27" s="89"/>
      <c r="H27" s="111"/>
    </row>
    <row r="28" spans="1:10" s="84" customFormat="1" x14ac:dyDescent="0.25">
      <c r="A28" s="113"/>
      <c r="B28" s="88"/>
      <c r="C28" s="88"/>
      <c r="D28" s="88"/>
      <c r="E28" s="89"/>
      <c r="F28" s="89"/>
      <c r="G28" s="89"/>
      <c r="H28" s="111"/>
    </row>
    <row r="29" spans="1:10" s="84" customFormat="1" x14ac:dyDescent="0.25">
      <c r="A29" s="113"/>
      <c r="B29" s="88"/>
      <c r="C29" s="88"/>
      <c r="D29" s="88"/>
      <c r="E29" s="89"/>
      <c r="F29" s="89"/>
      <c r="G29" s="89"/>
      <c r="H29" s="111"/>
    </row>
    <row r="30" spans="1:10" s="84" customFormat="1" x14ac:dyDescent="0.25">
      <c r="A30" s="113"/>
      <c r="B30" s="88"/>
      <c r="C30" s="88"/>
      <c r="D30" s="88"/>
      <c r="E30" s="89"/>
      <c r="F30" s="89"/>
      <c r="G30" s="89"/>
      <c r="H30" s="111"/>
    </row>
    <row r="31" spans="1:10" s="84" customFormat="1" x14ac:dyDescent="0.25">
      <c r="A31" s="113"/>
      <c r="B31" s="88"/>
      <c r="C31" s="88"/>
      <c r="D31" s="88"/>
      <c r="E31" s="89"/>
      <c r="F31" s="89"/>
      <c r="G31" s="89"/>
      <c r="H31" s="111"/>
    </row>
    <row r="32" spans="1:10" s="84" customFormat="1" x14ac:dyDescent="0.25">
      <c r="A32" s="113"/>
      <c r="B32" s="88"/>
      <c r="C32" s="88"/>
      <c r="D32" s="88"/>
      <c r="E32" s="89"/>
      <c r="F32" s="89"/>
      <c r="G32" s="89"/>
      <c r="H32" s="111"/>
    </row>
    <row r="33" spans="1:8" s="84" customFormat="1" x14ac:dyDescent="0.25">
      <c r="A33" s="113"/>
      <c r="B33" s="88"/>
      <c r="C33" s="88"/>
      <c r="D33" s="88"/>
      <c r="E33" s="89"/>
      <c r="F33" s="89"/>
      <c r="G33" s="89"/>
      <c r="H33" s="111"/>
    </row>
    <row r="34" spans="1:8" s="84" customFormat="1" x14ac:dyDescent="0.25">
      <c r="A34" s="113"/>
      <c r="B34" s="88"/>
      <c r="C34" s="88"/>
      <c r="D34" s="88"/>
      <c r="E34" s="89"/>
      <c r="F34" s="89"/>
      <c r="G34" s="89"/>
      <c r="H34" s="111"/>
    </row>
    <row r="35" spans="1:8" s="84" customFormat="1" x14ac:dyDescent="0.25">
      <c r="A35" s="113"/>
      <c r="B35" s="88"/>
      <c r="C35" s="88"/>
      <c r="D35" s="88"/>
      <c r="E35" s="89"/>
      <c r="F35" s="89"/>
      <c r="G35" s="89"/>
      <c r="H35" s="111"/>
    </row>
    <row r="36" spans="1:8" s="84" customFormat="1" x14ac:dyDescent="0.25">
      <c r="A36" s="113"/>
      <c r="B36" s="88"/>
      <c r="C36" s="88"/>
      <c r="D36" s="88"/>
      <c r="E36" s="89"/>
      <c r="F36" s="89"/>
      <c r="G36" s="89"/>
      <c r="H36" s="111"/>
    </row>
    <row r="37" spans="1:8" s="84" customFormat="1" x14ac:dyDescent="0.25">
      <c r="A37" s="113"/>
      <c r="B37" s="88"/>
      <c r="C37" s="88"/>
      <c r="D37" s="88"/>
      <c r="E37" s="89"/>
      <c r="F37" s="89"/>
      <c r="G37" s="89"/>
      <c r="H37" s="111"/>
    </row>
    <row r="38" spans="1:8" s="84" customFormat="1" x14ac:dyDescent="0.25">
      <c r="A38" s="113"/>
      <c r="B38" s="88"/>
      <c r="C38" s="88"/>
      <c r="D38" s="88"/>
      <c r="E38" s="89"/>
      <c r="F38" s="89"/>
      <c r="G38" s="89"/>
      <c r="H38" s="111"/>
    </row>
    <row r="39" spans="1:8" s="84" customFormat="1" x14ac:dyDescent="0.25">
      <c r="A39" s="113"/>
      <c r="B39" s="88"/>
      <c r="C39" s="88"/>
      <c r="D39" s="88"/>
      <c r="E39" s="89"/>
      <c r="F39" s="89"/>
      <c r="G39" s="89"/>
      <c r="H39" s="111"/>
    </row>
    <row r="40" spans="1:8" s="84" customFormat="1" x14ac:dyDescent="0.25">
      <c r="A40" s="113"/>
      <c r="B40" s="88"/>
      <c r="C40" s="88"/>
      <c r="D40" s="88"/>
      <c r="E40" s="89"/>
      <c r="F40" s="89"/>
      <c r="G40" s="89"/>
      <c r="H40" s="111"/>
    </row>
    <row r="41" spans="1:8" s="84" customFormat="1" x14ac:dyDescent="0.25">
      <c r="A41" s="113"/>
      <c r="B41" s="88"/>
      <c r="C41" s="88"/>
      <c r="D41" s="88"/>
      <c r="E41" s="89"/>
      <c r="F41" s="89"/>
      <c r="G41" s="89"/>
      <c r="H41" s="111"/>
    </row>
    <row r="42" spans="1:8" s="84" customFormat="1" x14ac:dyDescent="0.25">
      <c r="A42" s="113"/>
      <c r="B42" s="88"/>
      <c r="C42" s="88"/>
      <c r="D42" s="88"/>
      <c r="E42" s="89"/>
      <c r="F42" s="89"/>
      <c r="G42" s="89"/>
      <c r="H42" s="111"/>
    </row>
    <row r="43" spans="1:8" s="84" customFormat="1" x14ac:dyDescent="0.25">
      <c r="A43" s="113"/>
      <c r="B43" s="88"/>
      <c r="C43" s="88"/>
      <c r="D43" s="88"/>
      <c r="E43" s="89"/>
      <c r="F43" s="89"/>
      <c r="G43" s="89"/>
      <c r="H43" s="111"/>
    </row>
    <row r="44" spans="1:8" s="84" customFormat="1" x14ac:dyDescent="0.25">
      <c r="A44" s="113"/>
      <c r="B44" s="88"/>
      <c r="C44" s="88"/>
      <c r="D44" s="88"/>
      <c r="E44" s="89"/>
      <c r="F44" s="89"/>
      <c r="G44" s="89"/>
      <c r="H44" s="111"/>
    </row>
    <row r="45" spans="1:8" s="84" customFormat="1" x14ac:dyDescent="0.25">
      <c r="A45" s="113"/>
      <c r="B45" s="88"/>
      <c r="C45" s="88"/>
      <c r="D45" s="88"/>
      <c r="E45" s="89"/>
      <c r="F45" s="89"/>
      <c r="G45" s="89"/>
      <c r="H45" s="111"/>
    </row>
    <row r="46" spans="1:8" s="84" customFormat="1" x14ac:dyDescent="0.25">
      <c r="A46" s="113"/>
      <c r="B46" s="88"/>
      <c r="C46" s="88"/>
      <c r="D46" s="88"/>
      <c r="E46" s="89"/>
      <c r="F46" s="89"/>
      <c r="G46" s="89"/>
      <c r="H46" s="111"/>
    </row>
    <row r="47" spans="1:8" s="84" customFormat="1" x14ac:dyDescent="0.25">
      <c r="A47" s="113"/>
      <c r="B47" s="88"/>
      <c r="C47" s="88"/>
      <c r="D47" s="88"/>
      <c r="E47" s="89"/>
      <c r="F47" s="89"/>
      <c r="G47" s="89"/>
      <c r="H47" s="111"/>
    </row>
    <row r="48" spans="1:8" s="84" customFormat="1" x14ac:dyDescent="0.25">
      <c r="A48" s="113"/>
      <c r="B48" s="88"/>
      <c r="C48" s="88"/>
      <c r="D48" s="88"/>
      <c r="E48" s="89"/>
      <c r="F48" s="89"/>
      <c r="G48" s="89"/>
      <c r="H48" s="111"/>
    </row>
    <row r="49" spans="1:8" s="84" customFormat="1" x14ac:dyDescent="0.25">
      <c r="A49" s="113"/>
      <c r="B49" s="88"/>
      <c r="C49" s="88"/>
      <c r="D49" s="88"/>
      <c r="E49" s="89"/>
      <c r="F49" s="89"/>
      <c r="G49" s="89"/>
      <c r="H49" s="111"/>
    </row>
    <row r="50" spans="1:8" s="84" customFormat="1" x14ac:dyDescent="0.25">
      <c r="A50" s="113"/>
      <c r="B50" s="88"/>
      <c r="C50" s="88"/>
      <c r="D50" s="88"/>
      <c r="E50" s="89"/>
      <c r="F50" s="89"/>
      <c r="G50" s="89"/>
      <c r="H50" s="111"/>
    </row>
    <row r="51" spans="1:8" s="84" customFormat="1" x14ac:dyDescent="0.25">
      <c r="A51" s="113"/>
      <c r="B51" s="88"/>
      <c r="C51" s="88"/>
      <c r="D51" s="88"/>
      <c r="E51" s="89"/>
      <c r="F51" s="89"/>
      <c r="G51" s="89"/>
      <c r="H51" s="111"/>
    </row>
    <row r="52" spans="1:8" s="84" customFormat="1" x14ac:dyDescent="0.25">
      <c r="A52" s="113"/>
      <c r="B52" s="88"/>
      <c r="C52" s="88"/>
      <c r="D52" s="88"/>
      <c r="E52" s="89"/>
      <c r="F52" s="89"/>
      <c r="G52" s="89"/>
      <c r="H52" s="111"/>
    </row>
    <row r="53" spans="1:8" s="84" customFormat="1" x14ac:dyDescent="0.25">
      <c r="A53" s="113"/>
      <c r="B53" s="88"/>
      <c r="C53" s="88"/>
      <c r="D53" s="88"/>
      <c r="E53" s="89"/>
      <c r="F53" s="89"/>
      <c r="G53" s="89"/>
      <c r="H53" s="111"/>
    </row>
    <row r="54" spans="1:8" s="84" customFormat="1" x14ac:dyDescent="0.25">
      <c r="A54" s="113"/>
      <c r="B54" s="88"/>
      <c r="C54" s="88"/>
      <c r="D54" s="88"/>
      <c r="E54" s="89"/>
      <c r="F54" s="89"/>
      <c r="G54" s="89"/>
      <c r="H54" s="111"/>
    </row>
    <row r="55" spans="1:8" s="84" customFormat="1" x14ac:dyDescent="0.25">
      <c r="A55" s="113"/>
      <c r="B55" s="88"/>
      <c r="C55" s="88"/>
      <c r="D55" s="88"/>
      <c r="E55" s="89"/>
      <c r="F55" s="89"/>
      <c r="G55" s="89"/>
      <c r="H55" s="111"/>
    </row>
    <row r="56" spans="1:8" s="84" customFormat="1" x14ac:dyDescent="0.25">
      <c r="A56" s="113"/>
      <c r="B56" s="88"/>
      <c r="C56" s="88"/>
      <c r="D56" s="88"/>
      <c r="E56" s="89"/>
      <c r="F56" s="89"/>
      <c r="G56" s="89"/>
      <c r="H56" s="111"/>
    </row>
    <row r="57" spans="1:8" s="84" customFormat="1" x14ac:dyDescent="0.25">
      <c r="A57" s="113"/>
      <c r="B57" s="88"/>
      <c r="C57" s="88"/>
      <c r="D57" s="88"/>
      <c r="E57" s="89"/>
      <c r="F57" s="89"/>
      <c r="G57" s="89"/>
      <c r="H57" s="111"/>
    </row>
    <row r="58" spans="1:8" s="84" customFormat="1" x14ac:dyDescent="0.25">
      <c r="A58" s="113"/>
      <c r="B58" s="88"/>
      <c r="C58" s="88"/>
      <c r="D58" s="88"/>
      <c r="E58" s="89"/>
      <c r="F58" s="89"/>
      <c r="G58" s="89"/>
      <c r="H58" s="111"/>
    </row>
    <row r="59" spans="1:8" s="84" customFormat="1" x14ac:dyDescent="0.25">
      <c r="A59" s="113"/>
      <c r="B59" s="88"/>
      <c r="C59" s="88"/>
      <c r="D59" s="88"/>
      <c r="E59" s="89"/>
      <c r="F59" s="89"/>
      <c r="G59" s="89"/>
      <c r="H59" s="111"/>
    </row>
    <row r="60" spans="1:8" s="84" customFormat="1" x14ac:dyDescent="0.25">
      <c r="A60" s="113"/>
      <c r="B60" s="88"/>
      <c r="C60" s="88"/>
      <c r="D60" s="88"/>
      <c r="E60" s="89"/>
      <c r="F60" s="89"/>
      <c r="G60" s="89"/>
      <c r="H60" s="111"/>
    </row>
    <row r="61" spans="1:8" s="84" customFormat="1" x14ac:dyDescent="0.25">
      <c r="A61" s="113"/>
      <c r="B61" s="88"/>
      <c r="C61" s="88"/>
      <c r="D61" s="88"/>
      <c r="E61" s="89"/>
      <c r="F61" s="89"/>
      <c r="G61" s="89"/>
      <c r="H61" s="111"/>
    </row>
    <row r="62" spans="1:8" s="84" customFormat="1" x14ac:dyDescent="0.25">
      <c r="A62" s="113"/>
      <c r="B62" s="88"/>
      <c r="C62" s="88"/>
      <c r="D62" s="88"/>
      <c r="E62" s="89"/>
      <c r="F62" s="89"/>
      <c r="G62" s="89"/>
      <c r="H62" s="111"/>
    </row>
    <row r="63" spans="1:8" s="84" customFormat="1" x14ac:dyDescent="0.25">
      <c r="A63" s="113"/>
      <c r="B63" s="88"/>
      <c r="C63" s="88"/>
      <c r="D63" s="88"/>
      <c r="E63" s="89"/>
      <c r="F63" s="89"/>
      <c r="G63" s="89"/>
      <c r="H63" s="111"/>
    </row>
    <row r="64" spans="1:8" s="84" customFormat="1" x14ac:dyDescent="0.25">
      <c r="A64" s="113"/>
      <c r="B64" s="88"/>
      <c r="C64" s="88"/>
      <c r="D64" s="88"/>
      <c r="E64" s="89"/>
      <c r="F64" s="89"/>
      <c r="G64" s="89"/>
      <c r="H64" s="111"/>
    </row>
    <row r="65" spans="1:8" s="84" customFormat="1" x14ac:dyDescent="0.25">
      <c r="A65" s="113"/>
      <c r="B65" s="88"/>
      <c r="C65" s="88"/>
      <c r="D65" s="88"/>
      <c r="E65" s="89"/>
      <c r="F65" s="89"/>
      <c r="G65" s="89"/>
      <c r="H65" s="111"/>
    </row>
    <row r="66" spans="1:8" s="84" customFormat="1" x14ac:dyDescent="0.25">
      <c r="A66" s="113"/>
      <c r="B66" s="88"/>
      <c r="C66" s="88"/>
      <c r="D66" s="88"/>
      <c r="E66" s="89"/>
      <c r="F66" s="89"/>
      <c r="G66" s="89"/>
      <c r="H66" s="111"/>
    </row>
    <row r="67" spans="1:8" s="84" customFormat="1" x14ac:dyDescent="0.25">
      <c r="A67" s="113"/>
      <c r="B67" s="88"/>
      <c r="C67" s="88"/>
      <c r="D67" s="88"/>
      <c r="E67" s="89"/>
      <c r="F67" s="89"/>
      <c r="G67" s="89"/>
      <c r="H67" s="111"/>
    </row>
    <row r="68" spans="1:8" s="84" customFormat="1" x14ac:dyDescent="0.25">
      <c r="A68" s="113"/>
      <c r="B68" s="88"/>
      <c r="C68" s="88"/>
      <c r="D68" s="88"/>
      <c r="E68" s="89"/>
      <c r="F68" s="89"/>
      <c r="G68" s="89"/>
      <c r="H68" s="111"/>
    </row>
    <row r="69" spans="1:8" s="84" customFormat="1" x14ac:dyDescent="0.25">
      <c r="A69" s="113"/>
      <c r="B69" s="88"/>
      <c r="C69" s="88"/>
      <c r="D69" s="88"/>
      <c r="E69" s="89"/>
      <c r="F69" s="89"/>
      <c r="G69" s="89"/>
      <c r="H69" s="111"/>
    </row>
    <row r="70" spans="1:8" s="84" customFormat="1" x14ac:dyDescent="0.25">
      <c r="A70" s="113"/>
      <c r="B70" s="88"/>
      <c r="C70" s="88"/>
      <c r="D70" s="88"/>
      <c r="E70" s="89"/>
      <c r="F70" s="89"/>
      <c r="G70" s="89"/>
      <c r="H70" s="111"/>
    </row>
    <row r="71" spans="1:8" s="84" customFormat="1" x14ac:dyDescent="0.25">
      <c r="A71" s="113"/>
      <c r="B71" s="88"/>
      <c r="C71" s="88"/>
      <c r="D71" s="88"/>
      <c r="E71" s="89"/>
      <c r="F71" s="89"/>
      <c r="G71" s="89"/>
      <c r="H71" s="111"/>
    </row>
    <row r="72" spans="1:8" s="84" customFormat="1" x14ac:dyDescent="0.25">
      <c r="A72" s="113"/>
      <c r="B72" s="88"/>
      <c r="C72" s="88"/>
      <c r="D72" s="88"/>
      <c r="E72" s="89"/>
      <c r="F72" s="89"/>
      <c r="G72" s="89"/>
      <c r="H72" s="111"/>
    </row>
    <row r="73" spans="1:8" s="84" customFormat="1" x14ac:dyDescent="0.25">
      <c r="A73" s="113"/>
      <c r="B73" s="88"/>
      <c r="C73" s="88"/>
      <c r="D73" s="88"/>
      <c r="E73" s="89"/>
      <c r="F73" s="89"/>
      <c r="G73" s="89"/>
      <c r="H73" s="111"/>
    </row>
    <row r="74" spans="1:8" s="84" customFormat="1" x14ac:dyDescent="0.25">
      <c r="A74" s="113"/>
      <c r="B74" s="88"/>
      <c r="C74" s="88"/>
      <c r="D74" s="88"/>
      <c r="E74" s="89"/>
      <c r="F74" s="89"/>
      <c r="G74" s="89"/>
      <c r="H74" s="111"/>
    </row>
    <row r="75" spans="1:8" s="84" customFormat="1" x14ac:dyDescent="0.25">
      <c r="A75" s="113"/>
      <c r="B75" s="88"/>
      <c r="C75" s="88"/>
      <c r="D75" s="88"/>
      <c r="E75" s="89"/>
      <c r="F75" s="89"/>
      <c r="G75" s="89"/>
      <c r="H75" s="111"/>
    </row>
    <row r="76" spans="1:8" s="84" customFormat="1" x14ac:dyDescent="0.25">
      <c r="A76" s="113"/>
      <c r="B76" s="88"/>
      <c r="C76" s="88"/>
      <c r="D76" s="88"/>
      <c r="E76" s="89"/>
      <c r="F76" s="89"/>
      <c r="G76" s="89"/>
      <c r="H76" s="111"/>
    </row>
    <row r="77" spans="1:8" s="84" customFormat="1" x14ac:dyDescent="0.25">
      <c r="A77" s="113"/>
      <c r="B77" s="88"/>
      <c r="C77" s="88"/>
      <c r="D77" s="88"/>
      <c r="E77" s="89"/>
      <c r="F77" s="89"/>
      <c r="G77" s="89"/>
      <c r="H77" s="111"/>
    </row>
    <row r="78" spans="1:8" s="84" customFormat="1" x14ac:dyDescent="0.25">
      <c r="A78" s="113"/>
      <c r="B78" s="88"/>
      <c r="C78" s="88"/>
      <c r="D78" s="88"/>
      <c r="E78" s="89"/>
      <c r="F78" s="89"/>
      <c r="G78" s="89"/>
      <c r="H78" s="111"/>
    </row>
    <row r="79" spans="1:8" s="84" customFormat="1" x14ac:dyDescent="0.25">
      <c r="A79" s="113"/>
      <c r="B79" s="88"/>
      <c r="C79" s="88"/>
      <c r="D79" s="88"/>
      <c r="E79" s="89"/>
      <c r="F79" s="89"/>
      <c r="G79" s="89"/>
      <c r="H79" s="111"/>
    </row>
    <row r="80" spans="1:8" s="84" customFormat="1" x14ac:dyDescent="0.25">
      <c r="A80" s="113"/>
      <c r="B80" s="88"/>
      <c r="C80" s="88"/>
      <c r="D80" s="88"/>
      <c r="E80" s="89"/>
      <c r="F80" s="89"/>
      <c r="G80" s="89"/>
      <c r="H80" s="111"/>
    </row>
    <row r="81" spans="1:8" s="84" customFormat="1" x14ac:dyDescent="0.25">
      <c r="A81" s="113"/>
      <c r="B81" s="88"/>
      <c r="C81" s="88"/>
      <c r="D81" s="88"/>
      <c r="E81" s="89"/>
      <c r="F81" s="89"/>
      <c r="G81" s="89"/>
      <c r="H81" s="111"/>
    </row>
    <row r="82" spans="1:8" s="84" customFormat="1" x14ac:dyDescent="0.25">
      <c r="A82" s="113"/>
      <c r="B82" s="88"/>
      <c r="C82" s="88"/>
      <c r="D82" s="88"/>
      <c r="E82" s="89"/>
      <c r="F82" s="89"/>
      <c r="G82" s="89"/>
      <c r="H82" s="111"/>
    </row>
    <row r="83" spans="1:8" s="84" customFormat="1" x14ac:dyDescent="0.25">
      <c r="A83" s="113"/>
      <c r="B83" s="88"/>
      <c r="C83" s="88"/>
      <c r="D83" s="88"/>
      <c r="E83" s="89"/>
      <c r="F83" s="89"/>
      <c r="G83" s="89"/>
      <c r="H83" s="111"/>
    </row>
    <row r="84" spans="1:8" s="84" customFormat="1" x14ac:dyDescent="0.25">
      <c r="A84" s="113"/>
      <c r="B84" s="88"/>
      <c r="C84" s="88"/>
      <c r="D84" s="88"/>
      <c r="E84" s="89"/>
      <c r="F84" s="89"/>
      <c r="G84" s="89"/>
      <c r="H84" s="111"/>
    </row>
    <row r="85" spans="1:8" s="84" customFormat="1" x14ac:dyDescent="0.25">
      <c r="A85" s="113"/>
      <c r="B85" s="88"/>
      <c r="C85" s="88"/>
      <c r="D85" s="88"/>
      <c r="E85" s="89"/>
      <c r="F85" s="89"/>
      <c r="G85" s="89"/>
      <c r="H85" s="111"/>
    </row>
    <row r="86" spans="1:8" s="84" customFormat="1" x14ac:dyDescent="0.25">
      <c r="A86" s="113"/>
      <c r="B86" s="88"/>
      <c r="C86" s="88"/>
      <c r="D86" s="88"/>
      <c r="E86" s="89"/>
      <c r="F86" s="89"/>
      <c r="G86" s="89"/>
      <c r="H86" s="111"/>
    </row>
    <row r="87" spans="1:8" s="84" customFormat="1" x14ac:dyDescent="0.25">
      <c r="A87" s="113"/>
      <c r="B87" s="88"/>
      <c r="C87" s="88"/>
      <c r="D87" s="88"/>
      <c r="E87" s="89"/>
      <c r="F87" s="89"/>
      <c r="G87" s="89"/>
      <c r="H87" s="111"/>
    </row>
    <row r="88" spans="1:8" s="84" customFormat="1" x14ac:dyDescent="0.25">
      <c r="A88" s="113"/>
      <c r="B88" s="88"/>
      <c r="C88" s="88"/>
      <c r="D88" s="88"/>
      <c r="E88" s="89"/>
      <c r="F88" s="89"/>
      <c r="G88" s="89"/>
      <c r="H88" s="111"/>
    </row>
    <row r="89" spans="1:8" s="84" customFormat="1" x14ac:dyDescent="0.25">
      <c r="A89" s="113"/>
      <c r="B89" s="88"/>
      <c r="C89" s="88"/>
      <c r="D89" s="88"/>
      <c r="E89" s="89"/>
      <c r="F89" s="89"/>
      <c r="G89" s="89"/>
      <c r="H89" s="111"/>
    </row>
    <row r="90" spans="1:8" s="84" customFormat="1" x14ac:dyDescent="0.25">
      <c r="A90" s="113"/>
      <c r="B90" s="88"/>
      <c r="C90" s="88"/>
      <c r="D90" s="88"/>
      <c r="E90" s="89"/>
      <c r="F90" s="89"/>
      <c r="G90" s="89"/>
      <c r="H90" s="111"/>
    </row>
    <row r="91" spans="1:8" s="84" customFormat="1" x14ac:dyDescent="0.25">
      <c r="A91" s="113"/>
      <c r="B91" s="88"/>
      <c r="C91" s="88"/>
      <c r="D91" s="88"/>
      <c r="E91" s="89"/>
      <c r="F91" s="89"/>
      <c r="G91" s="89"/>
      <c r="H91" s="111"/>
    </row>
    <row r="92" spans="1:8" s="84" customFormat="1" x14ac:dyDescent="0.25">
      <c r="A92" s="113"/>
      <c r="B92" s="88"/>
      <c r="C92" s="88"/>
      <c r="D92" s="88"/>
      <c r="E92" s="89"/>
      <c r="F92" s="89"/>
      <c r="G92" s="89"/>
      <c r="H92" s="111"/>
    </row>
    <row r="93" spans="1:8" s="84" customFormat="1" x14ac:dyDescent="0.25">
      <c r="A93" s="113"/>
      <c r="B93" s="88"/>
      <c r="C93" s="88"/>
      <c r="D93" s="88"/>
      <c r="E93" s="89"/>
      <c r="F93" s="89"/>
      <c r="G93" s="89"/>
      <c r="H93" s="111"/>
    </row>
    <row r="94" spans="1:8" s="84" customFormat="1" x14ac:dyDescent="0.25">
      <c r="A94" s="113"/>
      <c r="B94" s="88"/>
      <c r="C94" s="88"/>
      <c r="D94" s="88"/>
      <c r="E94" s="89"/>
      <c r="F94" s="89"/>
      <c r="G94" s="89"/>
      <c r="H94" s="111"/>
    </row>
    <row r="95" spans="1:8" s="84" customFormat="1" x14ac:dyDescent="0.25">
      <c r="A95" s="113"/>
      <c r="B95" s="88"/>
      <c r="C95" s="88"/>
      <c r="D95" s="88"/>
      <c r="E95" s="89"/>
      <c r="F95" s="89"/>
      <c r="G95" s="89"/>
      <c r="H95" s="111"/>
    </row>
    <row r="96" spans="1:8" s="84" customFormat="1" x14ac:dyDescent="0.25">
      <c r="A96" s="113"/>
      <c r="B96" s="88"/>
      <c r="C96" s="88"/>
      <c r="D96" s="88"/>
      <c r="E96" s="89"/>
      <c r="F96" s="89"/>
      <c r="G96" s="89"/>
      <c r="H96" s="111"/>
    </row>
    <row r="97" spans="1:8" s="84" customFormat="1" x14ac:dyDescent="0.25">
      <c r="A97" s="113"/>
      <c r="B97" s="88"/>
      <c r="C97" s="88"/>
      <c r="D97" s="88"/>
      <c r="E97" s="89"/>
      <c r="F97" s="89"/>
      <c r="G97" s="89"/>
      <c r="H97" s="111"/>
    </row>
    <row r="98" spans="1:8" s="84" customFormat="1" x14ac:dyDescent="0.25">
      <c r="A98" s="113"/>
      <c r="B98" s="88"/>
      <c r="C98" s="88"/>
      <c r="D98" s="88"/>
      <c r="E98" s="89"/>
      <c r="F98" s="89"/>
      <c r="G98" s="89"/>
      <c r="H98" s="111"/>
    </row>
    <row r="99" spans="1:8" s="84" customFormat="1" x14ac:dyDescent="0.25">
      <c r="A99" s="113"/>
      <c r="B99" s="88"/>
      <c r="C99" s="88"/>
      <c r="D99" s="88"/>
      <c r="E99" s="89"/>
      <c r="F99" s="89"/>
      <c r="G99" s="89"/>
      <c r="H99" s="111"/>
    </row>
    <row r="100" spans="1:8" s="84" customFormat="1" x14ac:dyDescent="0.25">
      <c r="A100" s="113"/>
      <c r="B100" s="88"/>
      <c r="C100" s="88"/>
      <c r="D100" s="88"/>
      <c r="E100" s="89"/>
      <c r="F100" s="89"/>
      <c r="G100" s="89"/>
      <c r="H100" s="111"/>
    </row>
    <row r="101" spans="1:8" s="84" customFormat="1" x14ac:dyDescent="0.25">
      <c r="A101" s="113"/>
      <c r="B101" s="88"/>
      <c r="C101" s="88"/>
      <c r="D101" s="88"/>
      <c r="E101" s="89"/>
      <c r="F101" s="89"/>
      <c r="G101" s="89"/>
      <c r="H101" s="111"/>
    </row>
    <row r="102" spans="1:8" s="84" customFormat="1" x14ac:dyDescent="0.25">
      <c r="A102" s="113"/>
      <c r="B102" s="88"/>
      <c r="C102" s="88"/>
      <c r="D102" s="88"/>
      <c r="E102" s="89"/>
      <c r="F102" s="89"/>
      <c r="G102" s="89"/>
      <c r="H102" s="111"/>
    </row>
    <row r="103" spans="1:8" s="84" customFormat="1" x14ac:dyDescent="0.25">
      <c r="A103" s="113"/>
      <c r="B103" s="88"/>
      <c r="C103" s="88"/>
      <c r="D103" s="88"/>
      <c r="E103" s="89"/>
      <c r="F103" s="89"/>
      <c r="G103" s="89"/>
      <c r="H103" s="111"/>
    </row>
    <row r="104" spans="1:8" s="84" customFormat="1" x14ac:dyDescent="0.25">
      <c r="A104" s="113"/>
      <c r="B104" s="88"/>
      <c r="C104" s="88"/>
      <c r="D104" s="88"/>
      <c r="E104" s="89"/>
      <c r="F104" s="89"/>
      <c r="G104" s="89"/>
      <c r="H104" s="111"/>
    </row>
    <row r="105" spans="1:8" s="84" customFormat="1" x14ac:dyDescent="0.25">
      <c r="A105" s="113"/>
      <c r="B105" s="88"/>
      <c r="C105" s="88"/>
      <c r="D105" s="88"/>
      <c r="E105" s="89"/>
      <c r="F105" s="89"/>
      <c r="G105" s="89"/>
      <c r="H105" s="111"/>
    </row>
    <row r="106" spans="1:8" s="84" customFormat="1" x14ac:dyDescent="0.25">
      <c r="A106" s="113"/>
      <c r="B106" s="88"/>
      <c r="C106" s="88"/>
      <c r="D106" s="88"/>
      <c r="E106" s="89"/>
      <c r="F106" s="89"/>
      <c r="G106" s="89"/>
      <c r="H106" s="111"/>
    </row>
    <row r="107" spans="1:8" s="84" customFormat="1" x14ac:dyDescent="0.25">
      <c r="A107" s="113"/>
      <c r="B107" s="88"/>
      <c r="C107" s="88"/>
      <c r="D107" s="88"/>
      <c r="E107" s="89"/>
      <c r="F107" s="89"/>
      <c r="G107" s="89"/>
      <c r="H107" s="111"/>
    </row>
    <row r="108" spans="1:8" s="84" customFormat="1" x14ac:dyDescent="0.25">
      <c r="A108" s="113"/>
      <c r="B108" s="88"/>
      <c r="C108" s="88"/>
      <c r="D108" s="88"/>
      <c r="E108" s="89"/>
      <c r="F108" s="89"/>
      <c r="G108" s="89"/>
      <c r="H108" s="111"/>
    </row>
    <row r="109" spans="1:8" s="84" customFormat="1" x14ac:dyDescent="0.25">
      <c r="A109" s="113"/>
      <c r="B109" s="88"/>
      <c r="C109" s="88"/>
      <c r="D109" s="88"/>
      <c r="E109" s="89"/>
      <c r="F109" s="89"/>
      <c r="G109" s="89"/>
      <c r="H109" s="111"/>
    </row>
    <row r="110" spans="1:8" s="84" customFormat="1" x14ac:dyDescent="0.25">
      <c r="A110" s="113"/>
      <c r="B110" s="88"/>
      <c r="C110" s="88"/>
      <c r="D110" s="88"/>
      <c r="E110" s="89"/>
      <c r="F110" s="89"/>
      <c r="G110" s="89"/>
      <c r="H110" s="111"/>
    </row>
    <row r="111" spans="1:8" s="84" customFormat="1" x14ac:dyDescent="0.25">
      <c r="A111" s="113"/>
      <c r="B111" s="88"/>
      <c r="C111" s="88"/>
      <c r="D111" s="88"/>
      <c r="E111" s="89"/>
      <c r="F111" s="89"/>
      <c r="G111" s="89"/>
      <c r="H111" s="111"/>
    </row>
    <row r="112" spans="1:8" s="84" customFormat="1" x14ac:dyDescent="0.25">
      <c r="A112" s="113"/>
      <c r="B112" s="88"/>
      <c r="C112" s="88"/>
      <c r="D112" s="88"/>
      <c r="E112" s="89"/>
      <c r="F112" s="89"/>
      <c r="G112" s="89"/>
      <c r="H112" s="111"/>
    </row>
    <row r="113" spans="1:8" s="84" customFormat="1" x14ac:dyDescent="0.25">
      <c r="A113" s="113"/>
      <c r="B113" s="88"/>
      <c r="C113" s="88"/>
      <c r="D113" s="88"/>
      <c r="E113" s="89"/>
      <c r="F113" s="89"/>
      <c r="G113" s="89"/>
      <c r="H113" s="111"/>
    </row>
    <row r="114" spans="1:8" s="84" customFormat="1" x14ac:dyDescent="0.25">
      <c r="A114" s="113"/>
      <c r="B114" s="88"/>
      <c r="C114" s="88"/>
      <c r="D114" s="88"/>
      <c r="E114" s="89"/>
      <c r="F114" s="89"/>
      <c r="G114" s="89"/>
      <c r="H114" s="111"/>
    </row>
    <row r="115" spans="1:8" s="84" customFormat="1" x14ac:dyDescent="0.25">
      <c r="A115" s="113"/>
      <c r="B115" s="88"/>
      <c r="C115" s="88"/>
      <c r="D115" s="88"/>
      <c r="E115" s="89"/>
      <c r="F115" s="89"/>
      <c r="G115" s="89"/>
      <c r="H115" s="111"/>
    </row>
    <row r="116" spans="1:8" s="84" customFormat="1" x14ac:dyDescent="0.25">
      <c r="A116" s="113"/>
      <c r="B116" s="88"/>
      <c r="C116" s="88"/>
      <c r="D116" s="88"/>
      <c r="E116" s="89"/>
      <c r="F116" s="89"/>
      <c r="G116" s="89"/>
      <c r="H116" s="111"/>
    </row>
    <row r="117" spans="1:8" s="84" customFormat="1" x14ac:dyDescent="0.25">
      <c r="A117" s="113"/>
      <c r="B117" s="88"/>
      <c r="C117" s="88"/>
      <c r="D117" s="88"/>
      <c r="E117" s="89"/>
      <c r="F117" s="89"/>
      <c r="G117" s="89"/>
      <c r="H117" s="111"/>
    </row>
    <row r="118" spans="1:8" s="84" customFormat="1" x14ac:dyDescent="0.25">
      <c r="A118" s="113"/>
      <c r="B118" s="88"/>
      <c r="C118" s="88"/>
      <c r="D118" s="88"/>
      <c r="E118" s="89"/>
      <c r="F118" s="89"/>
      <c r="G118" s="89"/>
      <c r="H118" s="111"/>
    </row>
    <row r="119" spans="1:8" s="84" customFormat="1" x14ac:dyDescent="0.25">
      <c r="A119" s="113"/>
      <c r="B119" s="88"/>
      <c r="C119" s="88"/>
      <c r="D119" s="88"/>
      <c r="E119" s="89"/>
      <c r="F119" s="89"/>
      <c r="G119" s="89"/>
      <c r="H119" s="111"/>
    </row>
  </sheetData>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8">
    <tabColor rgb="FF92D050"/>
  </sheetPr>
  <dimension ref="A1:L5"/>
  <sheetViews>
    <sheetView workbookViewId="0">
      <selection sqref="A1:M80"/>
    </sheetView>
  </sheetViews>
  <sheetFormatPr defaultRowHeight="15" x14ac:dyDescent="0.25"/>
  <cols>
    <col min="1" max="1" width="19.85546875" customWidth="1"/>
    <col min="2" max="2" width="13.5703125" customWidth="1"/>
    <col min="3" max="4" width="12.5703125" customWidth="1"/>
    <col min="5" max="5" width="17" customWidth="1"/>
    <col min="6" max="6" width="13.140625" customWidth="1"/>
    <col min="7" max="7" width="14.42578125" customWidth="1"/>
    <col min="8" max="8" width="13.140625" customWidth="1"/>
    <col min="9" max="9" width="30.140625" customWidth="1"/>
    <col min="10" max="10" width="30.42578125" customWidth="1"/>
    <col min="11" max="11" width="28.5703125" customWidth="1"/>
    <col min="12" max="12" width="30.7109375" customWidth="1"/>
  </cols>
  <sheetData>
    <row r="1" spans="1:12" s="903" customFormat="1" ht="16.5" thickBot="1" x14ac:dyDescent="0.3">
      <c r="A1" s="902" t="s">
        <v>1580</v>
      </c>
      <c r="B1" s="902"/>
      <c r="C1" s="530"/>
      <c r="D1" s="530"/>
      <c r="E1" s="530"/>
      <c r="F1" s="530"/>
      <c r="G1" s="530"/>
      <c r="I1" s="2994" t="s">
        <v>87</v>
      </c>
      <c r="J1" s="2995"/>
      <c r="K1" s="2994" t="s">
        <v>8</v>
      </c>
      <c r="L1" s="2996"/>
    </row>
    <row r="2" spans="1:12" s="903" customFormat="1" ht="15.75" customHeight="1" x14ac:dyDescent="0.25">
      <c r="A2" s="2997" t="s">
        <v>87</v>
      </c>
      <c r="B2" s="2386"/>
      <c r="C2" s="2386"/>
      <c r="D2" s="2876"/>
      <c r="E2" s="2997" t="s">
        <v>8</v>
      </c>
      <c r="F2" s="2386"/>
      <c r="G2" s="2386"/>
      <c r="H2" s="2998"/>
      <c r="I2" s="2992" t="str">
        <f>'Звіт  7,8'!J36</f>
        <v xml:space="preserve">Якщо є придбання крові та/або її компонентів р. 2.1.2. гр.3 таблиці 2, то має бути вказана відповідна кількість доз  р.1 гр.3 цієї таблиці </v>
      </c>
      <c r="J2" s="2999" t="str">
        <f>'Звіт  7,8'!K36</f>
        <v xml:space="preserve">Якщо є витрати щодо крові та/або її компонентів р.  1.1.4.1.2 гр.3 таблиці 5.1, то має бути вказана відповідна кількість доз  р.1 гр.4 цієї таблиці </v>
      </c>
      <c r="K2" s="2992" t="str">
        <f>'Звіт  7,8'!L36</f>
        <v xml:space="preserve">Якщо є придбання крові та/або її компонентів р. 2.1.2. гр.4 таблиці 2, то має бути вказана відповідна кількість доз  р.1 гр.5 цієї таблиці </v>
      </c>
      <c r="L2" s="2993" t="str">
        <f>'Звіт  7,8'!M36</f>
        <v xml:space="preserve">Якщо є витрати щодо крові та/або її компонентів р.  1.1.4.1.2 гр.4 таблиці 5.1, то має бути вказана відповідна кількість доз  р.1 гр.6 цієї таблиці </v>
      </c>
    </row>
    <row r="3" spans="1:12" s="903" customFormat="1" ht="47.25" customHeight="1" x14ac:dyDescent="0.25">
      <c r="A3" s="909" t="s">
        <v>1577</v>
      </c>
      <c r="B3" s="906" t="s">
        <v>1579</v>
      </c>
      <c r="C3" s="906" t="s">
        <v>1578</v>
      </c>
      <c r="D3" s="910" t="s">
        <v>1579</v>
      </c>
      <c r="E3" s="909" t="str">
        <f>A3</f>
        <v>Придбання та оприбуткування, грн.</v>
      </c>
      <c r="F3" s="906" t="str">
        <f>B3</f>
        <v>Дози, одиниць</v>
      </c>
      <c r="G3" s="906" t="str">
        <f>C3</f>
        <v>Витрати, грн.</v>
      </c>
      <c r="H3" s="907" t="str">
        <f>D3</f>
        <v>Дози, одиниць</v>
      </c>
      <c r="I3" s="2992"/>
      <c r="J3" s="2999"/>
      <c r="K3" s="2992"/>
      <c r="L3" s="2993"/>
    </row>
    <row r="4" spans="1:12" s="903" customFormat="1" ht="15.75" x14ac:dyDescent="0.25">
      <c r="A4" s="911">
        <v>1</v>
      </c>
      <c r="B4" s="894">
        <v>2</v>
      </c>
      <c r="C4" s="894">
        <v>3</v>
      </c>
      <c r="D4" s="895">
        <v>4</v>
      </c>
      <c r="E4" s="911">
        <v>5</v>
      </c>
      <c r="F4" s="894">
        <v>6</v>
      </c>
      <c r="G4" s="894">
        <v>7</v>
      </c>
      <c r="H4" s="908">
        <v>8</v>
      </c>
      <c r="I4" s="2992"/>
      <c r="J4" s="2999"/>
      <c r="K4" s="2992"/>
      <c r="L4" s="2993"/>
    </row>
    <row r="5" spans="1:12" s="903" customFormat="1" ht="21.75" customHeight="1" thickBot="1" x14ac:dyDescent="0.3">
      <c r="A5" s="912">
        <f>'Звіт 1,2,3'!F32</f>
        <v>0</v>
      </c>
      <c r="B5" s="904">
        <f>'Звіт  7,8'!F38</f>
        <v>0</v>
      </c>
      <c r="C5" s="904">
        <f>'Звіт   4,5,6'!D45</f>
        <v>0</v>
      </c>
      <c r="D5" s="905">
        <f>'Звіт  7,8'!G38</f>
        <v>0</v>
      </c>
      <c r="E5" s="914">
        <f>'Звіт 1,2,3'!G32</f>
        <v>47122</v>
      </c>
      <c r="F5" s="913">
        <f>'Звіт  7,8'!H38</f>
        <v>47122</v>
      </c>
      <c r="G5" s="913">
        <f>'Звіт   4,5,6'!E45</f>
        <v>47122</v>
      </c>
      <c r="H5" s="915">
        <f>'Звіт  7,8'!I38</f>
        <v>47122</v>
      </c>
      <c r="I5" s="916" t="str">
        <f>'Звіт  7,8'!J40</f>
        <v>ПРАВДА</v>
      </c>
      <c r="J5" s="918" t="str">
        <f>'Звіт  7,8'!K40</f>
        <v>ПРАВДА</v>
      </c>
      <c r="K5" s="916" t="str">
        <f>'Звіт  7,8'!L40</f>
        <v>ПРАВДА</v>
      </c>
      <c r="L5" s="917" t="str">
        <f>'Звіт  7,8'!M40</f>
        <v>ПРАВДА</v>
      </c>
    </row>
  </sheetData>
  <mergeCells count="8">
    <mergeCell ref="K2:K4"/>
    <mergeCell ref="L2:L4"/>
    <mergeCell ref="I1:J1"/>
    <mergeCell ref="K1:L1"/>
    <mergeCell ref="A2:D2"/>
    <mergeCell ref="E2:H2"/>
    <mergeCell ref="I2:I4"/>
    <mergeCell ref="J2:J4"/>
  </mergeCells>
  <dataValidations count="1">
    <dataValidation type="decimal" showInputMessage="1" showErrorMessage="1" sqref="A5:G5">
      <formula1>-100000000</formula1>
      <formula2>100000000</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1">
    <tabColor rgb="FF92D050"/>
  </sheetPr>
  <dimension ref="A1:AG51"/>
  <sheetViews>
    <sheetView showGridLines="0" topLeftCell="E3" zoomScale="70" zoomScaleNormal="70" zoomScalePageLayoutView="50" workbookViewId="0">
      <pane ySplit="1" topLeftCell="A4" activePane="bottomLeft" state="frozen"/>
      <selection sqref="A1:M80"/>
      <selection pane="bottomLeft" sqref="A1:M80"/>
    </sheetView>
  </sheetViews>
  <sheetFormatPr defaultRowHeight="18.75" x14ac:dyDescent="0.25"/>
  <cols>
    <col min="1" max="1" width="29.42578125" style="84" customWidth="1"/>
    <col min="2" max="2" width="32.5703125" style="84" customWidth="1"/>
    <col min="3" max="3" width="34.28515625" style="84" customWidth="1"/>
    <col min="4" max="4" width="26.85546875" style="84" customWidth="1"/>
    <col min="5" max="5" width="22.7109375" style="84" customWidth="1"/>
    <col min="6" max="6" width="26.7109375" style="84" customWidth="1"/>
    <col min="7" max="7" width="30.42578125" style="84" customWidth="1"/>
    <col min="8" max="9" width="26.7109375" style="84" customWidth="1"/>
    <col min="10" max="10" width="25" style="84" customWidth="1"/>
    <col min="11" max="11" width="28.5703125" style="84" customWidth="1"/>
    <col min="12" max="12" width="14.28515625" style="84" customWidth="1"/>
    <col min="13" max="21" width="8.7109375" style="84" customWidth="1"/>
    <col min="22" max="218" width="8.7109375" style="2" customWidth="1"/>
    <col min="219" max="219" width="78.5703125" style="2" customWidth="1"/>
    <col min="220" max="16384" width="9.140625" style="2"/>
  </cols>
  <sheetData>
    <row r="1" spans="1:33" ht="27" customHeight="1" x14ac:dyDescent="0.25"/>
    <row r="2" spans="1:33" ht="22.35" customHeight="1" x14ac:dyDescent="0.25"/>
    <row r="3" spans="1:33" s="31" customFormat="1" ht="47.25" customHeight="1" x14ac:dyDescent="0.3">
      <c r="A3" s="664" t="s">
        <v>1186</v>
      </c>
      <c r="B3" s="664" t="s">
        <v>1186</v>
      </c>
      <c r="C3" s="664" t="s">
        <v>1186</v>
      </c>
      <c r="D3" s="664" t="s">
        <v>1186</v>
      </c>
      <c r="E3" s="664" t="s">
        <v>1186</v>
      </c>
      <c r="F3" s="664" t="s">
        <v>1186</v>
      </c>
      <c r="G3" s="664" t="str">
        <f>I3</f>
        <v>Таблиця 13. Деталізація оборотів по Дт 411, гривень</v>
      </c>
      <c r="H3" s="664"/>
      <c r="I3" s="664" t="str">
        <f>J3</f>
        <v>Таблиця 13. Деталізація оборотів по Дт 411, гривень</v>
      </c>
      <c r="J3" s="664" t="str">
        <f>'Звіт 10, 11,12,13,14'!A84</f>
        <v>Таблиця 13. Деталізація оборотів по Дт 411, гривень</v>
      </c>
      <c r="K3" s="664" t="str">
        <f>J3</f>
        <v>Таблиця 13. Деталізація оборотів по Дт 411, гривень</v>
      </c>
      <c r="L3" s="185"/>
      <c r="M3" s="185"/>
      <c r="N3" s="95"/>
      <c r="O3" s="95"/>
      <c r="P3" s="95"/>
      <c r="Q3" s="95"/>
      <c r="R3" s="95"/>
      <c r="S3" s="95"/>
      <c r="T3" s="95"/>
      <c r="U3" s="95"/>
      <c r="V3" s="95"/>
      <c r="W3" s="95"/>
    </row>
    <row r="4" spans="1:33" s="31" customFormat="1" ht="45.75" customHeight="1" x14ac:dyDescent="0.25">
      <c r="A4" s="602" t="s">
        <v>495</v>
      </c>
      <c r="B4" s="602" t="s">
        <v>785</v>
      </c>
      <c r="C4" s="602" t="s">
        <v>866</v>
      </c>
      <c r="D4" s="602" t="s">
        <v>496</v>
      </c>
      <c r="E4" s="602" t="s">
        <v>497</v>
      </c>
      <c r="F4" s="602" t="s">
        <v>1428</v>
      </c>
      <c r="G4" s="602" t="s">
        <v>1576</v>
      </c>
      <c r="H4" s="602" t="s">
        <v>1576</v>
      </c>
      <c r="I4" s="476" t="s">
        <v>542</v>
      </c>
      <c r="J4" s="645" t="s">
        <v>1215</v>
      </c>
      <c r="K4" s="645" t="s">
        <v>1216</v>
      </c>
      <c r="L4" s="185"/>
      <c r="M4" s="185"/>
      <c r="N4" s="95"/>
      <c r="O4" s="95"/>
      <c r="P4" s="95"/>
      <c r="Q4" s="95"/>
      <c r="R4" s="95"/>
      <c r="S4" s="95"/>
      <c r="T4" s="95"/>
      <c r="U4" s="95"/>
      <c r="V4" s="95"/>
      <c r="W4" s="95"/>
    </row>
    <row r="5" spans="1:33" s="26" customFormat="1" ht="34.5" customHeight="1" x14ac:dyDescent="0.25">
      <c r="A5" s="2601" t="s">
        <v>849</v>
      </c>
      <c r="B5" s="2601" t="s">
        <v>850</v>
      </c>
      <c r="C5" s="2601" t="s">
        <v>867</v>
      </c>
      <c r="D5" s="2601" t="s">
        <v>721</v>
      </c>
      <c r="E5" s="2601" t="s">
        <v>722</v>
      </c>
      <c r="F5" s="2601" t="s">
        <v>851</v>
      </c>
      <c r="G5" s="3000" t="str">
        <f>'Звіт 10, 11,12,13,14'!D56</f>
        <v>1. Первісна вартість дооцінки проходить по Кт 411, а дооцінку зносу - по Дт 411
якщо варіант №1, то у комірці І56 по замовчанню стоїть  цифра 1, якщо варіант №2  - то у комірці І56 потрібно цифру 1 замінити на 0</v>
      </c>
      <c r="H5" s="3000" t="str">
        <f>'Звіт 10, 11,12,13,14'!D57</f>
        <v>2. Залишкова вартість дооцінки проходить по Кт 411
якщо варант №2, то поставте цифру 2 в комірку І 57</v>
      </c>
      <c r="I5" s="2961" t="str">
        <f>'Звіт 10, 11,12,13,14'!B85</f>
        <v>Всього по Дт 411 (р.Т11.1 гр.5)</v>
      </c>
      <c r="J5" s="2961" t="str">
        <f>'Звіт 10, 11,12,13,14'!B86</f>
        <v>ДООЦІНКА  ЗНОСУ в періоді 
варіант 1 (Дт 411 Кт 13)
варіант 2 (Дт 10 Кт 13)*</v>
      </c>
      <c r="K5" s="2961" t="str">
        <f>'Звіт 10, 11,12,13,14'!B87</f>
        <v>амортизація дооцінки (одночасно: Дт витратних рахунків Кт 13, Дт 411 Кт 441)  (р.Т10.3.3.2 + р. Т10.1.3.2. гр.14- Т13.2)</v>
      </c>
      <c r="L5" s="181"/>
      <c r="M5" s="181"/>
      <c r="N5" s="181"/>
      <c r="O5" s="181"/>
      <c r="P5" s="181"/>
      <c r="Q5" s="181"/>
      <c r="R5" s="181"/>
      <c r="S5" s="181"/>
      <c r="T5" s="181"/>
      <c r="U5" s="181"/>
      <c r="V5" s="181"/>
      <c r="W5" s="181"/>
      <c r="X5" s="181"/>
      <c r="Y5" s="181"/>
      <c r="Z5" s="181"/>
      <c r="AA5" s="181"/>
      <c r="AB5" s="181"/>
      <c r="AC5" s="181"/>
      <c r="AD5" s="181"/>
      <c r="AE5" s="181"/>
      <c r="AF5" s="181"/>
      <c r="AG5" s="181"/>
    </row>
    <row r="6" spans="1:33" s="26" customFormat="1" ht="45.75" customHeight="1" x14ac:dyDescent="0.25">
      <c r="A6" s="2601"/>
      <c r="B6" s="2601"/>
      <c r="C6" s="2601"/>
      <c r="D6" s="2601"/>
      <c r="E6" s="2601"/>
      <c r="F6" s="2601"/>
      <c r="G6" s="3001"/>
      <c r="H6" s="3001"/>
      <c r="I6" s="2961"/>
      <c r="J6" s="2961"/>
      <c r="K6" s="2961"/>
      <c r="L6" s="181"/>
      <c r="M6" s="181"/>
      <c r="N6" s="181"/>
      <c r="O6" s="181"/>
      <c r="P6" s="181"/>
      <c r="Q6" s="181"/>
      <c r="R6" s="181"/>
      <c r="S6" s="181"/>
      <c r="T6" s="181"/>
      <c r="U6" s="181"/>
      <c r="V6" s="181"/>
      <c r="W6" s="181"/>
      <c r="X6" s="181"/>
      <c r="Y6" s="181"/>
      <c r="Z6" s="181"/>
      <c r="AA6" s="181"/>
      <c r="AB6" s="181"/>
      <c r="AC6" s="181"/>
      <c r="AD6" s="181"/>
      <c r="AE6" s="181"/>
      <c r="AF6" s="181"/>
      <c r="AG6" s="181"/>
    </row>
    <row r="7" spans="1:33" s="26" customFormat="1" ht="57.75" customHeight="1" x14ac:dyDescent="0.25">
      <c r="A7" s="2601"/>
      <c r="B7" s="2601"/>
      <c r="C7" s="2601"/>
      <c r="D7" s="2601"/>
      <c r="E7" s="2601"/>
      <c r="F7" s="2601"/>
      <c r="G7" s="3001"/>
      <c r="H7" s="3001"/>
      <c r="I7" s="2961"/>
      <c r="J7" s="2961"/>
      <c r="K7" s="2961"/>
      <c r="L7" s="181"/>
      <c r="M7" s="181"/>
      <c r="N7" s="181"/>
      <c r="O7" s="181"/>
      <c r="P7" s="181"/>
      <c r="Q7" s="181"/>
      <c r="R7" s="181"/>
      <c r="S7" s="181"/>
      <c r="T7" s="181"/>
      <c r="U7" s="181"/>
      <c r="V7" s="181"/>
      <c r="W7" s="181"/>
      <c r="X7" s="181"/>
      <c r="Y7" s="181"/>
      <c r="Z7" s="181"/>
      <c r="AA7" s="181"/>
      <c r="AB7" s="181"/>
      <c r="AC7" s="181"/>
      <c r="AD7" s="181"/>
      <c r="AE7" s="181"/>
      <c r="AF7" s="181"/>
      <c r="AG7" s="181"/>
    </row>
    <row r="8" spans="1:33" s="9" customFormat="1" ht="35.25" customHeight="1" x14ac:dyDescent="0.25">
      <c r="A8" s="2601"/>
      <c r="B8" s="2601"/>
      <c r="C8" s="2601"/>
      <c r="D8" s="2601"/>
      <c r="E8" s="2601"/>
      <c r="F8" s="2601"/>
      <c r="G8" s="3002"/>
      <c r="H8" s="3002"/>
      <c r="I8" s="2961"/>
      <c r="J8" s="2961"/>
      <c r="K8" s="2961"/>
      <c r="L8" s="81"/>
      <c r="M8" s="81"/>
      <c r="N8" s="81"/>
      <c r="O8" s="81"/>
    </row>
    <row r="9" spans="1:33" s="9" customFormat="1" ht="39.75" customHeight="1" x14ac:dyDescent="0.25">
      <c r="A9" s="387">
        <f>'Звіт 10, 11,12,13,14'!I76</f>
        <v>0</v>
      </c>
      <c r="B9" s="387">
        <f>'Звіт 10, 11,12,13,14'!I77</f>
        <v>0</v>
      </c>
      <c r="C9" s="387">
        <f>'Звіт 10, 11,12,13,14'!I78</f>
        <v>0</v>
      </c>
      <c r="D9" s="387">
        <f>'Звіт 10, 11,12,13,14'!I79</f>
        <v>0</v>
      </c>
      <c r="E9" s="387">
        <f>'Звіт 10, 11,12,13,14'!I80</f>
        <v>0</v>
      </c>
      <c r="F9" s="387">
        <f>'Звіт 10, 11,12,13,14'!I81</f>
        <v>0</v>
      </c>
      <c r="G9" s="901">
        <f>'Звіт 10, 11,12,13,14'!K56</f>
        <v>1</v>
      </c>
      <c r="H9" s="901">
        <f>'Звіт 10, 11,12,13,14'!K57</f>
        <v>0</v>
      </c>
      <c r="I9" s="387">
        <f>'Звіт 10, 11,12,13,14'!G85</f>
        <v>0</v>
      </c>
      <c r="J9" s="387">
        <f>'Звіт 10, 11,12,13,14'!G86</f>
        <v>0</v>
      </c>
      <c r="K9" s="387">
        <f>'Звіт 10, 11,12,13,14'!G87</f>
        <v>0</v>
      </c>
      <c r="L9" s="99">
        <f>I9-J9-K9-F9</f>
        <v>0</v>
      </c>
      <c r="M9" s="81"/>
      <c r="N9" s="81"/>
      <c r="O9" s="81"/>
    </row>
    <row r="10" spans="1:33" s="9" customFormat="1" ht="42" customHeight="1" x14ac:dyDescent="0.3">
      <c r="A10" s="603"/>
      <c r="B10" s="604"/>
      <c r="C10" s="188"/>
      <c r="D10" s="188"/>
      <c r="E10" s="188"/>
      <c r="F10" s="188"/>
      <c r="G10" s="188"/>
      <c r="H10" s="188"/>
      <c r="I10" s="189"/>
      <c r="J10" s="81"/>
      <c r="K10" s="81"/>
      <c r="L10" s="81"/>
      <c r="M10" s="81"/>
      <c r="N10" s="81"/>
      <c r="O10" s="81"/>
    </row>
    <row r="11" spans="1:33" s="9" customFormat="1" ht="42" customHeight="1" x14ac:dyDescent="0.3">
      <c r="A11" s="603"/>
      <c r="B11" s="605"/>
      <c r="C11" s="81"/>
      <c r="D11" s="81"/>
      <c r="E11" s="81"/>
      <c r="F11" s="81"/>
      <c r="G11" s="81"/>
      <c r="H11" s="81"/>
      <c r="I11" s="81"/>
      <c r="J11" s="81"/>
      <c r="K11" s="81"/>
      <c r="L11" s="81"/>
      <c r="M11" s="81"/>
      <c r="N11" s="81"/>
      <c r="O11" s="81"/>
    </row>
    <row r="12" spans="1:33" s="9" customFormat="1" ht="42" customHeight="1" x14ac:dyDescent="0.3">
      <c r="B12" s="605"/>
      <c r="C12" s="81"/>
      <c r="D12" s="81"/>
      <c r="E12" s="81"/>
      <c r="F12" s="81"/>
      <c r="G12" s="81"/>
      <c r="H12" s="81"/>
      <c r="I12" s="81"/>
      <c r="J12" s="81"/>
      <c r="K12" s="81"/>
      <c r="L12" s="81"/>
      <c r="M12" s="81"/>
      <c r="N12" s="81"/>
      <c r="O12" s="81"/>
    </row>
    <row r="13" spans="1:33" s="9" customFormat="1" ht="58.9" customHeight="1" x14ac:dyDescent="0.25">
      <c r="B13" s="81"/>
      <c r="C13" s="81"/>
      <c r="D13" s="81"/>
      <c r="E13" s="81"/>
      <c r="F13" s="81"/>
      <c r="G13" s="81"/>
      <c r="H13" s="81"/>
      <c r="I13" s="81"/>
      <c r="J13" s="81"/>
      <c r="K13" s="81"/>
      <c r="L13" s="81"/>
      <c r="M13" s="81"/>
      <c r="N13" s="81"/>
      <c r="O13" s="81"/>
    </row>
    <row r="14" spans="1:33" s="9" customFormat="1" ht="28.35" customHeight="1" x14ac:dyDescent="0.25">
      <c r="B14" s="248"/>
      <c r="C14" s="248"/>
      <c r="D14" s="144"/>
      <c r="E14" s="84"/>
      <c r="F14" s="81"/>
      <c r="G14" s="81"/>
      <c r="H14" s="81"/>
      <c r="I14" s="81"/>
      <c r="J14" s="81"/>
      <c r="K14" s="81"/>
      <c r="L14" s="81"/>
      <c r="M14" s="81"/>
      <c r="N14" s="81"/>
      <c r="O14" s="81"/>
      <c r="P14" s="81"/>
      <c r="Q14" s="81"/>
      <c r="R14" s="81"/>
    </row>
    <row r="15" spans="1:33" s="9" customFormat="1" ht="33" customHeight="1" x14ac:dyDescent="0.25">
      <c r="B15" s="81"/>
      <c r="C15" s="81"/>
      <c r="D15" s="81"/>
      <c r="E15" s="81"/>
      <c r="F15" s="81"/>
      <c r="G15" s="81"/>
      <c r="H15" s="81"/>
      <c r="I15" s="81"/>
      <c r="J15" s="81"/>
      <c r="K15" s="81"/>
    </row>
    <row r="16" spans="1:33" s="9" customFormat="1" ht="34.9" customHeight="1" x14ac:dyDescent="0.3">
      <c r="A16" s="249"/>
      <c r="B16" s="249"/>
      <c r="C16" s="249"/>
      <c r="D16" s="249"/>
      <c r="E16" s="81"/>
      <c r="F16" s="81"/>
      <c r="G16" s="81"/>
      <c r="H16" s="81"/>
      <c r="I16" s="81"/>
      <c r="J16" s="81"/>
      <c r="K16" s="81"/>
    </row>
    <row r="17" spans="1:4" s="87" customFormat="1" ht="30.6" customHeight="1" x14ac:dyDescent="0.3">
      <c r="A17" s="249"/>
      <c r="B17" s="249"/>
      <c r="C17" s="249"/>
      <c r="D17" s="249"/>
    </row>
    <row r="18" spans="1:4" s="87" customFormat="1" ht="48" customHeight="1" x14ac:dyDescent="0.3">
      <c r="A18" s="249"/>
      <c r="B18" s="249"/>
      <c r="C18" s="249"/>
      <c r="D18" s="249"/>
    </row>
    <row r="19" spans="1:4" s="87" customFormat="1" ht="31.9" customHeight="1" x14ac:dyDescent="0.3">
      <c r="A19" s="249"/>
      <c r="B19" s="249"/>
      <c r="C19" s="249"/>
      <c r="D19" s="249"/>
    </row>
    <row r="20" spans="1:4" s="87" customFormat="1" ht="85.9" customHeight="1" x14ac:dyDescent="0.3">
      <c r="A20" s="249"/>
      <c r="B20" s="249"/>
      <c r="C20" s="249"/>
      <c r="D20" s="249"/>
    </row>
    <row r="21" spans="1:4" s="87" customFormat="1" ht="25.9" customHeight="1" x14ac:dyDescent="0.3">
      <c r="A21" s="249"/>
      <c r="B21" s="249"/>
      <c r="C21" s="249"/>
      <c r="D21" s="249"/>
    </row>
    <row r="22" spans="1:4" s="84" customFormat="1" ht="33.6" customHeight="1" x14ac:dyDescent="0.3">
      <c r="A22" s="249"/>
      <c r="B22" s="249"/>
      <c r="C22" s="249"/>
      <c r="D22" s="249"/>
    </row>
    <row r="23" spans="1:4" s="84" customFormat="1" ht="84" customHeight="1" x14ac:dyDescent="0.3">
      <c r="A23" s="249"/>
      <c r="B23" s="249"/>
      <c r="C23" s="249"/>
      <c r="D23" s="249"/>
    </row>
    <row r="24" spans="1:4" s="84" customFormat="1" ht="33.6" customHeight="1" x14ac:dyDescent="0.3">
      <c r="A24" s="249"/>
      <c r="B24" s="249"/>
      <c r="C24" s="249"/>
      <c r="D24" s="249"/>
    </row>
    <row r="25" spans="1:4" s="84" customFormat="1" ht="70.900000000000006" customHeight="1" x14ac:dyDescent="0.3">
      <c r="A25" s="249"/>
      <c r="B25" s="249"/>
      <c r="C25" s="249"/>
      <c r="D25" s="249"/>
    </row>
    <row r="26" spans="1:4" s="84" customFormat="1" ht="33.6" customHeight="1" x14ac:dyDescent="0.25">
      <c r="A26" s="89"/>
      <c r="B26" s="89"/>
      <c r="C26" s="89"/>
      <c r="D26" s="89"/>
    </row>
    <row r="27" spans="1:4" s="84" customFormat="1" ht="38.65" customHeight="1" x14ac:dyDescent="0.25">
      <c r="A27" s="89"/>
      <c r="B27" s="89"/>
      <c r="C27" s="89"/>
      <c r="D27" s="89"/>
    </row>
    <row r="28" spans="1:4" s="84" customFormat="1" ht="149.44999999999999" customHeight="1" x14ac:dyDescent="0.25"/>
    <row r="29" spans="1:4" s="84" customFormat="1" ht="36" customHeight="1" x14ac:dyDescent="0.25"/>
    <row r="30" spans="1:4" s="84" customFormat="1" x14ac:dyDescent="0.25"/>
    <row r="31" spans="1:4" s="84" customFormat="1" x14ac:dyDescent="0.25"/>
    <row r="32" spans="1:4" s="84" customFormat="1" x14ac:dyDescent="0.25"/>
    <row r="33" s="84" customFormat="1" x14ac:dyDescent="0.25"/>
    <row r="34" s="84" customFormat="1" x14ac:dyDescent="0.25"/>
    <row r="35" s="84" customFormat="1" x14ac:dyDescent="0.25"/>
    <row r="36" s="84" customFormat="1" x14ac:dyDescent="0.25"/>
    <row r="37" s="84" customFormat="1" x14ac:dyDescent="0.25"/>
    <row r="38" s="84" customFormat="1" x14ac:dyDescent="0.25"/>
    <row r="39" s="84" customFormat="1" x14ac:dyDescent="0.25"/>
    <row r="40" s="84" customFormat="1" x14ac:dyDescent="0.25"/>
    <row r="41" s="84" customFormat="1" x14ac:dyDescent="0.25"/>
    <row r="42" s="84" customFormat="1" x14ac:dyDescent="0.25"/>
    <row r="43" s="84" customFormat="1" x14ac:dyDescent="0.25"/>
    <row r="44" s="84" customFormat="1" x14ac:dyDescent="0.25"/>
    <row r="45" s="84" customFormat="1" x14ac:dyDescent="0.25"/>
    <row r="46" s="84" customFormat="1" x14ac:dyDescent="0.25"/>
    <row r="47" s="84" customFormat="1" x14ac:dyDescent="0.25"/>
    <row r="48" s="84" customFormat="1" x14ac:dyDescent="0.25"/>
    <row r="49" spans="22:25" s="84" customFormat="1" x14ac:dyDescent="0.25"/>
    <row r="50" spans="22:25" s="84" customFormat="1" x14ac:dyDescent="0.25"/>
    <row r="51" spans="22:25" s="84" customFormat="1" x14ac:dyDescent="0.25">
      <c r="V51" s="2"/>
      <c r="W51" s="2"/>
      <c r="X51" s="2"/>
      <c r="Y51" s="2"/>
    </row>
  </sheetData>
  <sheetProtection formatCells="0" formatColumns="0" formatRows="0"/>
  <mergeCells count="11">
    <mergeCell ref="A5:A8"/>
    <mergeCell ref="B5:B8"/>
    <mergeCell ref="C5:C8"/>
    <mergeCell ref="D5:D8"/>
    <mergeCell ref="E5:E8"/>
    <mergeCell ref="F5:F8"/>
    <mergeCell ref="G5:G8"/>
    <mergeCell ref="H5:H8"/>
    <mergeCell ref="J5:J8"/>
    <mergeCell ref="K5:K8"/>
    <mergeCell ref="I5:I8"/>
  </mergeCells>
  <conditionalFormatting sqref="A16:D25">
    <cfRule type="cellIs" dxfId="4" priority="63" operator="lessThan">
      <formula>0</formula>
    </cfRule>
  </conditionalFormatting>
  <printOptions horizontalCentered="1"/>
  <pageMargins left="0.19685039370078741" right="0.27559055118110237" top="0.59055118110236227" bottom="0.35433070866141736" header="0.39370078740157483" footer="0.31496062992125984"/>
  <pageSetup paperSize="9" scale="48" orientation="landscape" r:id="rId1"/>
  <headerFooter alignWithMargins="0">
    <oddFooter>&amp;RСтор.  &amp;P</oddFooter>
  </headerFooter>
  <rowBreaks count="1" manualBreakCount="1">
    <brk id="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2">
    <tabColor rgb="FF92D050"/>
  </sheetPr>
  <dimension ref="A1:U125"/>
  <sheetViews>
    <sheetView showGridLines="0" view="pageBreakPreview" topLeftCell="A16" zoomScale="60" zoomScaleNormal="60" zoomScalePageLayoutView="50" workbookViewId="0">
      <selection activeCell="W6" sqref="W6"/>
    </sheetView>
  </sheetViews>
  <sheetFormatPr defaultColWidth="8.7109375" defaultRowHeight="18.75" x14ac:dyDescent="0.25"/>
  <cols>
    <col min="1" max="1" width="93.85546875" style="2" customWidth="1"/>
    <col min="2" max="2" width="17.5703125" style="64" customWidth="1"/>
    <col min="3" max="3" width="21.42578125" style="4" customWidth="1"/>
    <col min="4" max="5" width="21.42578125" style="146" customWidth="1"/>
    <col min="6" max="6" width="28.28515625" style="4" customWidth="1"/>
    <col min="7" max="7" width="21" style="4" customWidth="1"/>
    <col min="8" max="8" width="18" style="52" customWidth="1"/>
    <col min="9" max="9" width="32" style="52" customWidth="1"/>
    <col min="10" max="10" width="60.140625" style="84" customWidth="1"/>
    <col min="11" max="12" width="40.85546875" style="84" customWidth="1"/>
    <col min="13" max="21" width="8.7109375" style="84"/>
    <col min="22" max="218" width="8.7109375" style="2"/>
    <col min="219" max="219" width="78.5703125" style="2" customWidth="1"/>
    <col min="220" max="222" width="19.42578125" style="2" customWidth="1"/>
    <col min="223" max="16384" width="8.7109375" style="2"/>
  </cols>
  <sheetData>
    <row r="1" spans="1:21" ht="19.5" thickBot="1" x14ac:dyDescent="0.3">
      <c r="J1" s="3003"/>
      <c r="K1" s="3003"/>
      <c r="L1" s="3003"/>
    </row>
    <row r="2" spans="1:21" s="9" customFormat="1" ht="56.65" customHeight="1" thickBot="1" x14ac:dyDescent="0.3">
      <c r="A2" s="472" t="s">
        <v>97</v>
      </c>
      <c r="B2" s="319" t="s">
        <v>56</v>
      </c>
      <c r="C2" s="638" t="str">
        <f>'Звіт   9'!E7</f>
        <v>На початок звітного періоду</v>
      </c>
      <c r="D2" s="638" t="str">
        <f>'Звіт   9'!F7</f>
        <v xml:space="preserve">Коригування </v>
      </c>
      <c r="E2" s="638" t="str">
        <f>'Звіт   9'!G7</f>
        <v>З балансу на баланс у звітному періоді</v>
      </c>
      <c r="F2" s="638" t="str">
        <f>'Звіт   9'!H7</f>
        <v>На початок звітного періоду з урахуванням коригування та прийняття на баланс</v>
      </c>
      <c r="G2" s="638" t="str">
        <f>'Звіт   9'!I7</f>
        <v>На кінець звітного періоду</v>
      </c>
      <c r="H2" s="638" t="str">
        <f>'Звіт   9'!J7</f>
        <v xml:space="preserve">Коригування </v>
      </c>
      <c r="I2" s="638" t="str">
        <f>'Звіт   9'!K7</f>
        <v>На кінець звітного періоду з урахуванням коригування</v>
      </c>
      <c r="J2" s="1464" t="s">
        <v>1629</v>
      </c>
      <c r="K2" s="939" t="s">
        <v>1723</v>
      </c>
      <c r="L2" s="940" t="s">
        <v>1724</v>
      </c>
      <c r="M2" s="81"/>
      <c r="N2" s="81"/>
      <c r="O2" s="81"/>
      <c r="P2" s="81"/>
      <c r="Q2" s="81"/>
      <c r="R2" s="81"/>
      <c r="S2" s="81"/>
      <c r="T2" s="81"/>
      <c r="U2" s="81"/>
    </row>
    <row r="3" spans="1:21" s="9" customFormat="1" ht="21" customHeight="1" x14ac:dyDescent="0.3">
      <c r="A3" s="473" t="s">
        <v>933</v>
      </c>
      <c r="B3" s="37">
        <v>999</v>
      </c>
      <c r="C3" s="228"/>
      <c r="D3" s="228"/>
      <c r="E3" s="228"/>
      <c r="F3" s="228"/>
      <c r="G3" s="228"/>
      <c r="H3" s="228"/>
      <c r="I3" s="228"/>
      <c r="J3" s="473" t="s">
        <v>1725</v>
      </c>
      <c r="K3" s="1459"/>
      <c r="L3" s="1459"/>
      <c r="M3" s="81"/>
      <c r="N3" s="81"/>
      <c r="O3" s="81"/>
      <c r="P3" s="81"/>
      <c r="Q3" s="81"/>
      <c r="R3" s="81"/>
      <c r="S3" s="81"/>
      <c r="T3" s="81"/>
      <c r="U3" s="81"/>
    </row>
    <row r="4" spans="1:21" s="9" customFormat="1" ht="22.35" customHeight="1" x14ac:dyDescent="0.3">
      <c r="A4" s="474" t="s">
        <v>923</v>
      </c>
      <c r="B4" s="41">
        <v>1000</v>
      </c>
      <c r="C4" s="108">
        <f>'Звіт   9'!E10</f>
        <v>0</v>
      </c>
      <c r="D4" s="108">
        <f>'Звіт   9'!F10</f>
        <v>0</v>
      </c>
      <c r="E4" s="108">
        <f>'Звіт   9'!G10</f>
        <v>0</v>
      </c>
      <c r="F4" s="108">
        <f>'Звіт   9'!H10</f>
        <v>0</v>
      </c>
      <c r="G4" s="108">
        <f>'Звіт   9'!I10</f>
        <v>0</v>
      </c>
      <c r="H4" s="108">
        <f>'Звіт   9'!J10</f>
        <v>0</v>
      </c>
      <c r="I4" s="108">
        <f>'Звіт   9'!K10</f>
        <v>0</v>
      </c>
      <c r="J4" s="475" t="s">
        <v>1726</v>
      </c>
      <c r="K4" s="1459">
        <f>F5+F9</f>
        <v>87512.2</v>
      </c>
      <c r="L4" s="1459">
        <f>I5+I9</f>
        <v>87490.2</v>
      </c>
      <c r="M4" s="81"/>
      <c r="N4" s="81"/>
      <c r="O4" s="81"/>
      <c r="P4" s="81"/>
      <c r="Q4" s="81"/>
      <c r="R4" s="81"/>
      <c r="S4" s="81"/>
      <c r="T4" s="81"/>
      <c r="U4" s="81"/>
    </row>
    <row r="5" spans="1:21" s="9" customFormat="1" ht="22.35" customHeight="1" x14ac:dyDescent="0.3">
      <c r="A5" s="475" t="s">
        <v>924</v>
      </c>
      <c r="B5" s="38">
        <v>1001</v>
      </c>
      <c r="C5" s="866">
        <f>'Звіт   9'!E11</f>
        <v>0</v>
      </c>
      <c r="D5" s="866">
        <f>'Звіт   9'!F11</f>
        <v>0</v>
      </c>
      <c r="E5" s="866">
        <f>'Звіт   9'!G11</f>
        <v>0</v>
      </c>
      <c r="F5" s="866">
        <f>'Звіт   9'!H11</f>
        <v>0</v>
      </c>
      <c r="G5" s="866">
        <f>'Звіт   9'!I11</f>
        <v>0</v>
      </c>
      <c r="H5" s="866">
        <f>'Звіт   9'!J11</f>
        <v>0</v>
      </c>
      <c r="I5" s="866">
        <f>'Звіт   9'!K11</f>
        <v>0</v>
      </c>
      <c r="J5" s="475" t="s">
        <v>1727</v>
      </c>
      <c r="K5" s="1459">
        <f>F6+F10</f>
        <v>-39104.1</v>
      </c>
      <c r="L5" s="1459">
        <f>I6+I10</f>
        <v>-39127</v>
      </c>
      <c r="M5" s="81"/>
      <c r="N5" s="81"/>
      <c r="O5" s="81"/>
      <c r="P5" s="81"/>
      <c r="Q5" s="81"/>
      <c r="R5" s="81"/>
      <c r="S5" s="81"/>
      <c r="T5" s="81"/>
      <c r="U5" s="81"/>
    </row>
    <row r="6" spans="1:21" s="9" customFormat="1" ht="22.35" customHeight="1" x14ac:dyDescent="0.3">
      <c r="A6" s="475" t="s">
        <v>925</v>
      </c>
      <c r="B6" s="37">
        <v>1002</v>
      </c>
      <c r="C6" s="866">
        <f>'Звіт   9'!E12</f>
        <v>0</v>
      </c>
      <c r="D6" s="866">
        <f>'Звіт   9'!F12</f>
        <v>0</v>
      </c>
      <c r="E6" s="866">
        <f>'Звіт   9'!G12</f>
        <v>0</v>
      </c>
      <c r="F6" s="866">
        <f>'Звіт   9'!H12</f>
        <v>0</v>
      </c>
      <c r="G6" s="866">
        <f>'Звіт   9'!I12</f>
        <v>0</v>
      </c>
      <c r="H6" s="866">
        <f>'Звіт   9'!J12</f>
        <v>0</v>
      </c>
      <c r="I6" s="866">
        <f>'Звіт   9'!K12</f>
        <v>0</v>
      </c>
      <c r="J6" s="475" t="s">
        <v>1728</v>
      </c>
      <c r="K6" s="1459"/>
      <c r="L6" s="1459"/>
      <c r="M6" s="81"/>
      <c r="N6" s="81"/>
      <c r="O6" s="81"/>
      <c r="P6" s="81"/>
      <c r="Q6" s="81"/>
      <c r="R6" s="81"/>
      <c r="S6" s="81"/>
      <c r="T6" s="81"/>
      <c r="U6" s="81"/>
    </row>
    <row r="7" spans="1:21" s="9" customFormat="1" ht="22.35" customHeight="1" x14ac:dyDescent="0.3">
      <c r="A7" s="475" t="s">
        <v>926</v>
      </c>
      <c r="B7" s="37">
        <v>1005</v>
      </c>
      <c r="C7" s="866">
        <f>'Звіт   9'!E13</f>
        <v>106.6</v>
      </c>
      <c r="D7" s="866">
        <f>'Звіт   9'!F13</f>
        <v>0</v>
      </c>
      <c r="E7" s="866">
        <f>'Звіт   9'!G13</f>
        <v>0</v>
      </c>
      <c r="F7" s="866">
        <f>'Звіт   9'!H13</f>
        <v>106.6</v>
      </c>
      <c r="G7" s="866">
        <f>'Звіт   9'!I13</f>
        <v>60.9</v>
      </c>
      <c r="H7" s="866">
        <f>'Звіт   9'!J13</f>
        <v>0</v>
      </c>
      <c r="I7" s="866">
        <f>'Звіт   9'!K13</f>
        <v>60.9</v>
      </c>
      <c r="J7" s="475" t="s">
        <v>1729</v>
      </c>
      <c r="K7" s="1459">
        <f>F21</f>
        <v>28613.1</v>
      </c>
      <c r="L7" s="1459">
        <f>I21</f>
        <v>31465.5</v>
      </c>
      <c r="M7" s="81"/>
      <c r="N7" s="81"/>
      <c r="O7" s="81"/>
      <c r="P7" s="81"/>
      <c r="Q7" s="81"/>
      <c r="R7" s="81"/>
      <c r="S7" s="81"/>
      <c r="T7" s="81"/>
      <c r="U7" s="81"/>
    </row>
    <row r="8" spans="1:21" s="9" customFormat="1" ht="22.35" customHeight="1" x14ac:dyDescent="0.3">
      <c r="A8" s="474" t="s">
        <v>927</v>
      </c>
      <c r="B8" s="41">
        <v>1010</v>
      </c>
      <c r="C8" s="108">
        <f>'Звіт   9'!E14</f>
        <v>38488.699999999997</v>
      </c>
      <c r="D8" s="108">
        <f>'Звіт   9'!F14</f>
        <v>0</v>
      </c>
      <c r="E8" s="108">
        <f>'Звіт   9'!G14</f>
        <v>9919.4000000000015</v>
      </c>
      <c r="F8" s="108">
        <f>'Звіт   9'!H14</f>
        <v>48408.1</v>
      </c>
      <c r="G8" s="108">
        <f>'Звіт   9'!I14</f>
        <v>48363.199999999997</v>
      </c>
      <c r="H8" s="108">
        <f>'Звіт   9'!J14</f>
        <v>0</v>
      </c>
      <c r="I8" s="108">
        <f>'Звіт   9'!K14</f>
        <v>48363.199999999997</v>
      </c>
      <c r="J8" s="475" t="s">
        <v>1730</v>
      </c>
      <c r="K8" s="1459">
        <f>F34</f>
        <v>0</v>
      </c>
      <c r="L8" s="1459">
        <f>I34</f>
        <v>0</v>
      </c>
      <c r="M8" s="81"/>
      <c r="N8" s="81"/>
      <c r="O8" s="81"/>
      <c r="P8" s="81"/>
      <c r="Q8" s="81"/>
      <c r="R8" s="81"/>
      <c r="S8" s="81"/>
      <c r="T8" s="81"/>
      <c r="U8" s="81"/>
    </row>
    <row r="9" spans="1:21" s="9" customFormat="1" ht="22.35" customHeight="1" x14ac:dyDescent="0.3">
      <c r="A9" s="475" t="s">
        <v>928</v>
      </c>
      <c r="B9" s="38">
        <v>1011</v>
      </c>
      <c r="C9" s="866">
        <f>'Звіт   9'!E15</f>
        <v>75250.5</v>
      </c>
      <c r="D9" s="866">
        <f>'Звіт   9'!F15</f>
        <v>0</v>
      </c>
      <c r="E9" s="866">
        <f>'Звіт   9'!G15</f>
        <v>12261.7</v>
      </c>
      <c r="F9" s="866">
        <f>'Звіт   9'!H15</f>
        <v>87512.2</v>
      </c>
      <c r="G9" s="866">
        <f>'Звіт   9'!I15</f>
        <v>87490.2</v>
      </c>
      <c r="H9" s="866">
        <f>'Звіт   9'!J15</f>
        <v>0</v>
      </c>
      <c r="I9" s="866">
        <f>'Звіт   9'!K15</f>
        <v>87490.2</v>
      </c>
      <c r="J9" s="475" t="s">
        <v>1731</v>
      </c>
      <c r="K9" s="1459">
        <f>F35</f>
        <v>3908.7</v>
      </c>
      <c r="L9" s="1459">
        <f>I35</f>
        <v>811.6</v>
      </c>
      <c r="M9" s="81"/>
      <c r="N9" s="81"/>
      <c r="O9" s="81"/>
      <c r="P9" s="81"/>
      <c r="Q9" s="81"/>
      <c r="R9" s="81"/>
      <c r="S9" s="81"/>
      <c r="T9" s="81"/>
      <c r="U9" s="81"/>
    </row>
    <row r="10" spans="1:21" s="9" customFormat="1" ht="22.35" customHeight="1" x14ac:dyDescent="0.3">
      <c r="A10" s="475" t="s">
        <v>929</v>
      </c>
      <c r="B10" s="38">
        <v>1012</v>
      </c>
      <c r="C10" s="866">
        <f>'Звіт   9'!E16</f>
        <v>-36761.800000000003</v>
      </c>
      <c r="D10" s="866">
        <f>'Звіт   9'!F16</f>
        <v>0</v>
      </c>
      <c r="E10" s="866">
        <f>'Звіт   9'!G16</f>
        <v>-2342.3000000000002</v>
      </c>
      <c r="F10" s="866">
        <f>'Звіт   9'!H16</f>
        <v>-39104.1</v>
      </c>
      <c r="G10" s="866">
        <f>'Звіт   9'!I16</f>
        <v>-39127</v>
      </c>
      <c r="H10" s="866">
        <f>'Звіт   9'!J16</f>
        <v>0</v>
      </c>
      <c r="I10" s="866">
        <f>'Звіт   9'!K16</f>
        <v>-39127</v>
      </c>
      <c r="J10" s="1463" t="s">
        <v>1732</v>
      </c>
      <c r="K10" s="1460">
        <f>F40</f>
        <v>81540.899999999994</v>
      </c>
      <c r="L10" s="1460">
        <f>I40</f>
        <v>81089</v>
      </c>
      <c r="M10" s="81"/>
      <c r="N10" s="81"/>
      <c r="O10" s="81"/>
      <c r="P10" s="81"/>
      <c r="Q10" s="81"/>
      <c r="R10" s="81"/>
      <c r="S10" s="81"/>
      <c r="T10" s="81"/>
      <c r="U10" s="81"/>
    </row>
    <row r="11" spans="1:21" s="9" customFormat="1" ht="22.35" customHeight="1" x14ac:dyDescent="0.3">
      <c r="A11" s="475" t="s">
        <v>930</v>
      </c>
      <c r="B11" s="37">
        <v>1015</v>
      </c>
      <c r="C11" s="866">
        <f>'Звіт   9'!E17</f>
        <v>0</v>
      </c>
      <c r="D11" s="866">
        <f>'Звіт   9'!F17</f>
        <v>0</v>
      </c>
      <c r="E11" s="866">
        <f>'Звіт   9'!G17</f>
        <v>0</v>
      </c>
      <c r="F11" s="866">
        <f>'Звіт   9'!H17</f>
        <v>0</v>
      </c>
      <c r="G11" s="866">
        <f>'Звіт   9'!I17</f>
        <v>0</v>
      </c>
      <c r="H11" s="866">
        <f>'Звіт   9'!J17</f>
        <v>0</v>
      </c>
      <c r="I11" s="866">
        <f>'Звіт   9'!K17</f>
        <v>0</v>
      </c>
      <c r="J11" s="475" t="s">
        <v>1733</v>
      </c>
      <c r="K11" s="666"/>
      <c r="L11" s="666"/>
      <c r="M11" s="81"/>
      <c r="N11" s="81"/>
      <c r="O11" s="81"/>
      <c r="P11" s="81"/>
      <c r="Q11" s="81"/>
      <c r="R11" s="81"/>
      <c r="S11" s="81"/>
      <c r="T11" s="81"/>
      <c r="U11" s="81"/>
    </row>
    <row r="12" spans="1:21" s="9" customFormat="1" ht="24" customHeight="1" x14ac:dyDescent="0.3">
      <c r="A12" s="475" t="s">
        <v>931</v>
      </c>
      <c r="B12" s="37">
        <v>1020</v>
      </c>
      <c r="C12" s="866">
        <f>'Звіт   9'!E18</f>
        <v>0</v>
      </c>
      <c r="D12" s="866">
        <f>'Звіт   9'!F18</f>
        <v>0</v>
      </c>
      <c r="E12" s="866">
        <f>'Звіт   9'!G18</f>
        <v>0</v>
      </c>
      <c r="F12" s="866">
        <f>'Звіт   9'!H18</f>
        <v>0</v>
      </c>
      <c r="G12" s="866">
        <f>'Звіт   9'!I18</f>
        <v>0</v>
      </c>
      <c r="H12" s="866">
        <f>'Звіт   9'!J18</f>
        <v>0</v>
      </c>
      <c r="I12" s="866">
        <f>'Звіт   9'!K18</f>
        <v>0</v>
      </c>
      <c r="J12" s="475" t="s">
        <v>619</v>
      </c>
      <c r="K12" s="1459">
        <f>F43</f>
        <v>46007.1</v>
      </c>
      <c r="L12" s="1459">
        <f>I43</f>
        <v>46007.1</v>
      </c>
      <c r="M12" s="81"/>
      <c r="N12" s="81"/>
      <c r="O12" s="81"/>
      <c r="P12" s="81"/>
      <c r="Q12" s="81"/>
      <c r="R12" s="81"/>
      <c r="S12" s="81"/>
      <c r="T12" s="81"/>
      <c r="U12" s="81"/>
    </row>
    <row r="13" spans="1:21" s="9" customFormat="1" ht="21.6" customHeight="1" x14ac:dyDescent="0.3">
      <c r="A13" s="475" t="s">
        <v>1575</v>
      </c>
      <c r="B13" s="37">
        <v>1029</v>
      </c>
      <c r="C13" s="866">
        <f>'Звіт   9'!E19</f>
        <v>0</v>
      </c>
      <c r="D13" s="866">
        <f>'Звіт   9'!F19</f>
        <v>0</v>
      </c>
      <c r="E13" s="866">
        <f>'Звіт   9'!G19</f>
        <v>0</v>
      </c>
      <c r="F13" s="866">
        <f>'Звіт   9'!H19</f>
        <v>0</v>
      </c>
      <c r="G13" s="866">
        <f>'Звіт   9'!I19</f>
        <v>0</v>
      </c>
      <c r="H13" s="866">
        <f>'Звіт   9'!J19</f>
        <v>0</v>
      </c>
      <c r="I13" s="866">
        <f>'Звіт   9'!K19</f>
        <v>0</v>
      </c>
      <c r="J13" s="475" t="s">
        <v>125</v>
      </c>
      <c r="K13" s="1459">
        <f>F44</f>
        <v>0</v>
      </c>
      <c r="L13" s="1459">
        <f>I44</f>
        <v>0</v>
      </c>
      <c r="M13" s="81"/>
      <c r="N13" s="81"/>
      <c r="O13" s="81"/>
      <c r="P13" s="81"/>
      <c r="Q13" s="81"/>
      <c r="R13" s="81"/>
      <c r="S13" s="81"/>
      <c r="T13" s="81"/>
      <c r="U13" s="81"/>
    </row>
    <row r="14" spans="1:21" s="9" customFormat="1" ht="23.45" customHeight="1" x14ac:dyDescent="0.3">
      <c r="A14" s="475" t="s">
        <v>932</v>
      </c>
      <c r="B14" s="37">
        <v>1030</v>
      </c>
      <c r="C14" s="866">
        <f>'Звіт   9'!E20</f>
        <v>0</v>
      </c>
      <c r="D14" s="866">
        <f>'Звіт   9'!F20</f>
        <v>0</v>
      </c>
      <c r="E14" s="866">
        <f>'Звіт   9'!G20</f>
        <v>0</v>
      </c>
      <c r="F14" s="866">
        <f>'Звіт   9'!H20</f>
        <v>0</v>
      </c>
      <c r="G14" s="866">
        <f>'Звіт   9'!I20</f>
        <v>0</v>
      </c>
      <c r="H14" s="866">
        <f>'Звіт   9'!J20</f>
        <v>0</v>
      </c>
      <c r="I14" s="866">
        <f>'Звіт   9'!K20</f>
        <v>0</v>
      </c>
      <c r="J14" s="475" t="s">
        <v>1734</v>
      </c>
      <c r="K14" s="1459">
        <f>F45</f>
        <v>23681.1</v>
      </c>
      <c r="L14" s="1459">
        <f>I45</f>
        <v>23659.599999999999</v>
      </c>
      <c r="M14" s="81"/>
      <c r="N14" s="81"/>
      <c r="O14" s="81"/>
      <c r="P14" s="81"/>
      <c r="Q14" s="81"/>
      <c r="R14" s="81"/>
      <c r="S14" s="81"/>
      <c r="T14" s="81"/>
      <c r="U14" s="81"/>
    </row>
    <row r="15" spans="1:21" s="9" customFormat="1" ht="22.35" customHeight="1" x14ac:dyDescent="0.3">
      <c r="A15" s="900" t="s">
        <v>949</v>
      </c>
      <c r="B15" s="37">
        <v>1035</v>
      </c>
      <c r="C15" s="866">
        <f>'Звіт   9'!E21</f>
        <v>0</v>
      </c>
      <c r="D15" s="866">
        <f>'Звіт   9'!F21</f>
        <v>0</v>
      </c>
      <c r="E15" s="866">
        <f>'Звіт   9'!G21</f>
        <v>0</v>
      </c>
      <c r="F15" s="866">
        <f>'Звіт   9'!H21</f>
        <v>0</v>
      </c>
      <c r="G15" s="866">
        <f>'Звіт   9'!I21</f>
        <v>0</v>
      </c>
      <c r="H15" s="866">
        <f>'Звіт   9'!J21</f>
        <v>0</v>
      </c>
      <c r="I15" s="866">
        <f>'Звіт   9'!K21</f>
        <v>0</v>
      </c>
      <c r="J15" s="475" t="s">
        <v>127</v>
      </c>
      <c r="K15" s="1461">
        <f>F48</f>
        <v>0</v>
      </c>
      <c r="L15" s="1461">
        <f>I48</f>
        <v>0</v>
      </c>
      <c r="M15" s="81"/>
      <c r="N15" s="81"/>
      <c r="O15" s="81"/>
      <c r="P15" s="81"/>
      <c r="Q15" s="81"/>
      <c r="R15" s="81"/>
      <c r="S15" s="81"/>
      <c r="T15" s="81"/>
      <c r="U15" s="81"/>
    </row>
    <row r="16" spans="1:21" s="9" customFormat="1" ht="22.35" customHeight="1" x14ac:dyDescent="0.3">
      <c r="A16" s="900" t="s">
        <v>950</v>
      </c>
      <c r="B16" s="37">
        <v>1040</v>
      </c>
      <c r="C16" s="866">
        <f>'Звіт   9'!E22</f>
        <v>0</v>
      </c>
      <c r="D16" s="866">
        <f>'Звіт   9'!F22</f>
        <v>0</v>
      </c>
      <c r="E16" s="866">
        <f>'Звіт   9'!G22</f>
        <v>0</v>
      </c>
      <c r="F16" s="866">
        <f>'Звіт   9'!H22</f>
        <v>0</v>
      </c>
      <c r="G16" s="866">
        <f>'Звіт   9'!I22</f>
        <v>0</v>
      </c>
      <c r="H16" s="866">
        <f>'Звіт   9'!J22</f>
        <v>0</v>
      </c>
      <c r="I16" s="866">
        <f>'Звіт   9'!K22</f>
        <v>0</v>
      </c>
      <c r="J16" s="475" t="s">
        <v>128</v>
      </c>
      <c r="K16" s="1461">
        <f>F49</f>
        <v>4517.6000000000004</v>
      </c>
      <c r="L16" s="1461">
        <f>I49</f>
        <v>-5517.2</v>
      </c>
      <c r="M16" s="81"/>
      <c r="N16" s="81"/>
      <c r="O16" s="81"/>
      <c r="P16" s="81"/>
      <c r="Q16" s="81"/>
      <c r="R16" s="81"/>
      <c r="S16" s="81"/>
      <c r="T16" s="81"/>
      <c r="U16" s="81"/>
    </row>
    <row r="17" spans="1:21" s="9" customFormat="1" ht="22.35" customHeight="1" x14ac:dyDescent="0.3">
      <c r="A17" s="900" t="s">
        <v>951</v>
      </c>
      <c r="B17" s="37">
        <v>1045</v>
      </c>
      <c r="C17" s="866">
        <f>'Звіт   9'!E23</f>
        <v>0</v>
      </c>
      <c r="D17" s="866">
        <f>'Звіт   9'!F23</f>
        <v>0</v>
      </c>
      <c r="E17" s="866">
        <f>'Звіт   9'!G23</f>
        <v>0</v>
      </c>
      <c r="F17" s="866">
        <f>'Звіт   9'!H23</f>
        <v>0</v>
      </c>
      <c r="G17" s="866">
        <f>'Звіт   9'!I23</f>
        <v>0</v>
      </c>
      <c r="H17" s="866">
        <f>'Звіт   9'!J23</f>
        <v>0</v>
      </c>
      <c r="I17" s="866">
        <f>'Звіт   9'!K23</f>
        <v>0</v>
      </c>
      <c r="J17" s="475" t="s">
        <v>129</v>
      </c>
      <c r="K17" s="1461">
        <f>F50</f>
        <v>-21299</v>
      </c>
      <c r="L17" s="1461">
        <f>I50</f>
        <v>-21299</v>
      </c>
      <c r="M17" s="81"/>
      <c r="N17" s="81"/>
      <c r="O17" s="81"/>
      <c r="P17" s="81"/>
      <c r="Q17" s="81"/>
      <c r="R17" s="81"/>
      <c r="S17" s="81"/>
      <c r="T17" s="81"/>
      <c r="U17" s="81"/>
    </row>
    <row r="18" spans="1:21" s="9" customFormat="1" ht="22.35" customHeight="1" x14ac:dyDescent="0.3">
      <c r="A18" s="900" t="s">
        <v>952</v>
      </c>
      <c r="B18" s="37">
        <v>1090</v>
      </c>
      <c r="C18" s="866">
        <f>'Звіт   9'!E24</f>
        <v>0</v>
      </c>
      <c r="D18" s="866">
        <f>'Звіт   9'!F24</f>
        <v>0</v>
      </c>
      <c r="E18" s="866">
        <f>'Звіт   9'!G24</f>
        <v>0</v>
      </c>
      <c r="F18" s="866">
        <f>'Звіт   9'!H24</f>
        <v>0</v>
      </c>
      <c r="G18" s="866">
        <f>'Звіт   9'!I24</f>
        <v>0</v>
      </c>
      <c r="H18" s="866">
        <f>'Звіт   9'!J24</f>
        <v>0</v>
      </c>
      <c r="I18" s="866">
        <f>'Звіт   9'!K24</f>
        <v>0</v>
      </c>
      <c r="J18" s="475" t="s">
        <v>1735</v>
      </c>
      <c r="K18" s="1462">
        <f>F54+F55+F56+F57+F58</f>
        <v>27137.3</v>
      </c>
      <c r="L18" s="1462">
        <f>I54+I55+I56+I57+I58</f>
        <v>31241.7</v>
      </c>
      <c r="M18" s="81"/>
      <c r="N18" s="81"/>
      <c r="O18" s="81"/>
      <c r="P18" s="81"/>
      <c r="Q18" s="81"/>
      <c r="R18" s="81"/>
      <c r="S18" s="81"/>
      <c r="T18" s="81"/>
      <c r="U18" s="81"/>
    </row>
    <row r="19" spans="1:21" s="9" customFormat="1" ht="22.35" customHeight="1" thickBot="1" x14ac:dyDescent="0.4">
      <c r="A19" s="900" t="s">
        <v>953</v>
      </c>
      <c r="B19" s="223">
        <v>1095</v>
      </c>
      <c r="C19" s="875">
        <f>'Звіт   9'!E25</f>
        <v>38595.299999999996</v>
      </c>
      <c r="D19" s="875">
        <f>'Звіт   9'!F25</f>
        <v>0</v>
      </c>
      <c r="E19" s="875">
        <f>'Звіт   9'!G25</f>
        <v>9919.4000000000015</v>
      </c>
      <c r="F19" s="875">
        <f>'Звіт   9'!H25</f>
        <v>48514.7</v>
      </c>
      <c r="G19" s="875">
        <f>'Звіт   9'!I25</f>
        <v>48424.1</v>
      </c>
      <c r="H19" s="875">
        <f>'Звіт   9'!J25</f>
        <v>0</v>
      </c>
      <c r="I19" s="875">
        <f>'Звіт   9'!K25</f>
        <v>48424.1</v>
      </c>
      <c r="J19" s="475" t="s">
        <v>1736</v>
      </c>
      <c r="K19" s="1459">
        <f>F58</f>
        <v>27137.3</v>
      </c>
      <c r="L19" s="1459">
        <f>I58</f>
        <v>31241.7</v>
      </c>
      <c r="M19" s="81"/>
      <c r="N19" s="81"/>
      <c r="O19" s="81"/>
      <c r="P19" s="81"/>
      <c r="Q19" s="81"/>
      <c r="R19" s="81"/>
      <c r="S19" s="81"/>
      <c r="T19" s="81"/>
      <c r="U19" s="81"/>
    </row>
    <row r="20" spans="1:21" s="9" customFormat="1" ht="22.35" customHeight="1" x14ac:dyDescent="0.3">
      <c r="A20" s="900" t="s">
        <v>954</v>
      </c>
      <c r="B20" s="229">
        <v>1099</v>
      </c>
      <c r="C20" s="876">
        <f>'Звіт   9'!E26</f>
        <v>0</v>
      </c>
      <c r="D20" s="876">
        <f>'Звіт   9'!F26</f>
        <v>0</v>
      </c>
      <c r="E20" s="876">
        <f>'Звіт   9'!G26</f>
        <v>0</v>
      </c>
      <c r="F20" s="876">
        <f>'Звіт   9'!H26</f>
        <v>0</v>
      </c>
      <c r="G20" s="876">
        <f>'Звіт   9'!I26</f>
        <v>0</v>
      </c>
      <c r="H20" s="876">
        <f>'Звіт   9'!J26</f>
        <v>0</v>
      </c>
      <c r="I20" s="876">
        <f>'Звіт   9'!K26</f>
        <v>0</v>
      </c>
      <c r="J20" s="475" t="s">
        <v>1737</v>
      </c>
      <c r="K20" s="1462">
        <f>F64+F66+F67+F68+F70+F75+F78+F82+F71+F79</f>
        <v>1496.8000000000002</v>
      </c>
      <c r="L20" s="1462">
        <f>I64+I66+I67+I68+I70+I75+I78+I82+I71+I79</f>
        <v>6996.8</v>
      </c>
      <c r="M20" s="81"/>
      <c r="N20" s="81"/>
      <c r="O20" s="81"/>
      <c r="P20" s="81"/>
      <c r="Q20" s="81"/>
      <c r="R20" s="81"/>
      <c r="S20" s="81"/>
      <c r="T20" s="81"/>
      <c r="U20" s="81"/>
    </row>
    <row r="21" spans="1:21" s="9" customFormat="1" ht="22.35" customHeight="1" x14ac:dyDescent="0.3">
      <c r="A21" s="900" t="s">
        <v>955</v>
      </c>
      <c r="B21" s="37">
        <v>1100</v>
      </c>
      <c r="C21" s="866">
        <f>'Звіт   9'!E27</f>
        <v>28613.1</v>
      </c>
      <c r="D21" s="866">
        <f>'Звіт   9'!F27</f>
        <v>0</v>
      </c>
      <c r="E21" s="866">
        <f>'Звіт   9'!G27</f>
        <v>0</v>
      </c>
      <c r="F21" s="866">
        <f>'Звіт   9'!H27</f>
        <v>28613.1</v>
      </c>
      <c r="G21" s="866">
        <f>'Звіт   9'!I27</f>
        <v>31465.5</v>
      </c>
      <c r="H21" s="866">
        <f>'Звіт   9'!J27</f>
        <v>0</v>
      </c>
      <c r="I21" s="866">
        <f>'Звіт   9'!K27</f>
        <v>31465.5</v>
      </c>
      <c r="J21" s="475" t="s">
        <v>53</v>
      </c>
      <c r="K21" s="1459">
        <f>F79</f>
        <v>244.9</v>
      </c>
      <c r="L21" s="1459">
        <f>I79</f>
        <v>194.8</v>
      </c>
      <c r="M21" s="81"/>
      <c r="N21" s="81"/>
      <c r="O21" s="81"/>
      <c r="P21" s="81"/>
      <c r="Q21" s="81"/>
      <c r="R21" s="81"/>
      <c r="S21" s="81"/>
      <c r="T21" s="81"/>
      <c r="U21" s="81"/>
    </row>
    <row r="22" spans="1:21" s="9" customFormat="1" ht="22.35" customHeight="1" thickBot="1" x14ac:dyDescent="0.35">
      <c r="A22" s="900" t="s">
        <v>956</v>
      </c>
      <c r="B22" s="37">
        <v>1110</v>
      </c>
      <c r="C22" s="866">
        <f>'Звіт   9'!E28</f>
        <v>0</v>
      </c>
      <c r="D22" s="866">
        <f>'Звіт   9'!F28</f>
        <v>0</v>
      </c>
      <c r="E22" s="866">
        <f>'Звіт   9'!G28</f>
        <v>0</v>
      </c>
      <c r="F22" s="866">
        <f>'Звіт   9'!H28</f>
        <v>0</v>
      </c>
      <c r="G22" s="866">
        <f>'Звіт   9'!I28</f>
        <v>0</v>
      </c>
      <c r="H22" s="866">
        <f>'Звіт   9'!J28</f>
        <v>0</v>
      </c>
      <c r="I22" s="866">
        <f>'Звіт   9'!K28</f>
        <v>0</v>
      </c>
      <c r="J22" s="1465" t="s">
        <v>1738</v>
      </c>
      <c r="K22" s="1466">
        <f>F85</f>
        <v>81540.899999999994</v>
      </c>
      <c r="L22" s="1466">
        <f>I85</f>
        <v>81089</v>
      </c>
      <c r="M22" s="81"/>
      <c r="N22" s="81"/>
      <c r="O22" s="81"/>
      <c r="P22" s="81"/>
      <c r="Q22" s="81"/>
      <c r="R22" s="81"/>
      <c r="S22" s="81"/>
      <c r="T22" s="81"/>
      <c r="U22" s="81"/>
    </row>
    <row r="23" spans="1:21" s="9" customFormat="1" ht="23.45" customHeight="1" x14ac:dyDescent="0.3">
      <c r="A23" s="900" t="s">
        <v>957</v>
      </c>
      <c r="B23" s="37">
        <v>1125</v>
      </c>
      <c r="C23" s="866">
        <f>'Звіт   9'!E29</f>
        <v>0</v>
      </c>
      <c r="D23" s="866">
        <f>'Звіт   9'!F29</f>
        <v>0</v>
      </c>
      <c r="E23" s="866">
        <f>'Звіт   9'!G29</f>
        <v>0</v>
      </c>
      <c r="F23" s="866">
        <f>'Звіт   9'!H29</f>
        <v>0</v>
      </c>
      <c r="G23" s="866">
        <f>'Звіт   9'!I29</f>
        <v>0</v>
      </c>
      <c r="H23" s="866">
        <f>'Звіт   9'!J29</f>
        <v>0</v>
      </c>
      <c r="I23" s="866">
        <f>'Звіт   9'!K29</f>
        <v>0</v>
      </c>
      <c r="J23" s="81"/>
      <c r="K23" s="81"/>
      <c r="L23" s="81"/>
      <c r="M23" s="81"/>
      <c r="N23" s="81"/>
      <c r="O23" s="81"/>
      <c r="P23" s="81"/>
      <c r="Q23" s="81"/>
      <c r="R23" s="81"/>
      <c r="S23" s="81"/>
      <c r="T23" s="81"/>
      <c r="U23" s="81"/>
    </row>
    <row r="24" spans="1:21" s="9" customFormat="1" ht="22.35" customHeight="1" x14ac:dyDescent="0.3">
      <c r="A24" s="900" t="s">
        <v>958</v>
      </c>
      <c r="B24" s="37" t="s">
        <v>934</v>
      </c>
      <c r="C24" s="866">
        <f>'Звіт   9'!E30</f>
        <v>0</v>
      </c>
      <c r="D24" s="866">
        <f>'Звіт   9'!F30</f>
        <v>0</v>
      </c>
      <c r="E24" s="866">
        <f>'Звіт   9'!G30</f>
        <v>0</v>
      </c>
      <c r="F24" s="866">
        <f>'Звіт   9'!H30</f>
        <v>0</v>
      </c>
      <c r="G24" s="866">
        <f>'Звіт   9'!I30</f>
        <v>0</v>
      </c>
      <c r="H24" s="866">
        <f>'Звіт   9'!J30</f>
        <v>0</v>
      </c>
      <c r="I24" s="866">
        <f>'Звіт   9'!K30</f>
        <v>0</v>
      </c>
      <c r="J24" s="81"/>
      <c r="K24" s="81"/>
      <c r="L24" s="81"/>
      <c r="M24" s="81"/>
      <c r="N24" s="81"/>
      <c r="O24" s="81"/>
      <c r="P24" s="81"/>
      <c r="Q24" s="81"/>
      <c r="R24" s="81"/>
      <c r="S24" s="81"/>
      <c r="T24" s="81"/>
      <c r="U24" s="81"/>
    </row>
    <row r="25" spans="1:21" s="9" customFormat="1" ht="22.35" customHeight="1" x14ac:dyDescent="0.3">
      <c r="A25" s="900" t="s">
        <v>1866</v>
      </c>
      <c r="B25" s="37" t="s">
        <v>1865</v>
      </c>
      <c r="C25" s="866">
        <f>'Звіт   9'!E31</f>
        <v>0</v>
      </c>
      <c r="D25" s="866">
        <f>'Звіт   9'!F31</f>
        <v>0</v>
      </c>
      <c r="E25" s="866">
        <f>'Звіт   9'!G31</f>
        <v>0</v>
      </c>
      <c r="F25" s="866">
        <f>'Звіт   9'!H31</f>
        <v>0</v>
      </c>
      <c r="G25" s="866">
        <f>'Звіт   9'!I31</f>
        <v>0</v>
      </c>
      <c r="H25" s="866">
        <f>'Звіт   9'!J31</f>
        <v>0</v>
      </c>
      <c r="I25" s="866">
        <f>'Звіт   9'!K31</f>
        <v>0</v>
      </c>
      <c r="J25" s="81"/>
      <c r="K25" s="81"/>
      <c r="L25" s="81"/>
      <c r="M25" s="81"/>
      <c r="N25" s="81"/>
      <c r="O25" s="81"/>
      <c r="P25" s="81"/>
      <c r="Q25" s="81"/>
      <c r="R25" s="81"/>
      <c r="S25" s="81"/>
      <c r="T25" s="81"/>
      <c r="U25" s="81"/>
    </row>
    <row r="26" spans="1:21" s="9" customFormat="1" ht="24" customHeight="1" x14ac:dyDescent="0.3">
      <c r="A26" s="900" t="s">
        <v>959</v>
      </c>
      <c r="B26" s="37">
        <v>1129</v>
      </c>
      <c r="C26" s="866">
        <f>'Звіт   9'!E32</f>
        <v>0</v>
      </c>
      <c r="D26" s="866">
        <f>'Звіт   9'!F32</f>
        <v>0</v>
      </c>
      <c r="E26" s="866">
        <f>'Звіт   9'!G32</f>
        <v>0</v>
      </c>
      <c r="F26" s="866">
        <f>'Звіт   9'!H32</f>
        <v>0</v>
      </c>
      <c r="G26" s="866">
        <f>'Звіт   9'!I32</f>
        <v>0</v>
      </c>
      <c r="H26" s="866">
        <f>'Звіт   9'!J32</f>
        <v>0</v>
      </c>
      <c r="I26" s="866">
        <f>'Звіт   9'!K32</f>
        <v>0</v>
      </c>
      <c r="J26" s="81"/>
      <c r="K26" s="81"/>
      <c r="L26" s="81"/>
      <c r="M26" s="81"/>
      <c r="N26" s="81"/>
      <c r="O26" s="81"/>
      <c r="P26" s="81"/>
      <c r="Q26" s="81"/>
      <c r="R26" s="81"/>
      <c r="S26" s="81"/>
      <c r="T26" s="81"/>
      <c r="U26" s="81"/>
    </row>
    <row r="27" spans="1:21" s="9" customFormat="1" ht="22.35" customHeight="1" x14ac:dyDescent="0.3">
      <c r="A27" s="900" t="s">
        <v>960</v>
      </c>
      <c r="B27" s="37">
        <v>1130</v>
      </c>
      <c r="C27" s="866">
        <f>'Звіт   9'!E33</f>
        <v>0</v>
      </c>
      <c r="D27" s="866">
        <f>'Звіт   9'!F33</f>
        <v>0</v>
      </c>
      <c r="E27" s="866">
        <f>'Звіт   9'!G33</f>
        <v>0</v>
      </c>
      <c r="F27" s="866">
        <f>'Звіт   9'!H33</f>
        <v>0</v>
      </c>
      <c r="G27" s="866">
        <f>'Звіт   9'!I33</f>
        <v>0</v>
      </c>
      <c r="H27" s="866">
        <f>'Звіт   9'!J33</f>
        <v>0</v>
      </c>
      <c r="I27" s="866">
        <f>'Звіт   9'!K33</f>
        <v>0</v>
      </c>
      <c r="J27" s="81"/>
      <c r="K27" s="81"/>
      <c r="L27" s="81"/>
      <c r="M27" s="81"/>
      <c r="N27" s="81"/>
      <c r="O27" s="81"/>
      <c r="P27" s="81"/>
      <c r="Q27" s="81"/>
      <c r="R27" s="81"/>
      <c r="S27" s="81"/>
      <c r="T27" s="81"/>
      <c r="U27" s="81"/>
    </row>
    <row r="28" spans="1:21" s="9" customFormat="1" ht="22.35" customHeight="1" x14ac:dyDescent="0.3">
      <c r="A28" s="900" t="s">
        <v>961</v>
      </c>
      <c r="B28" s="37">
        <v>1135</v>
      </c>
      <c r="C28" s="866">
        <f>'Звіт   9'!E34</f>
        <v>3.9</v>
      </c>
      <c r="D28" s="866">
        <f>'Звіт   9'!F34</f>
        <v>0</v>
      </c>
      <c r="E28" s="866">
        <f>'Звіт   9'!G34</f>
        <v>0</v>
      </c>
      <c r="F28" s="866">
        <f>'Звіт   9'!H34</f>
        <v>3.9</v>
      </c>
      <c r="G28" s="866">
        <f>'Звіт   9'!I34</f>
        <v>3.9</v>
      </c>
      <c r="H28" s="866">
        <f>'Звіт   9'!J34</f>
        <v>0</v>
      </c>
      <c r="I28" s="866">
        <f>'Звіт   9'!K34</f>
        <v>3.9</v>
      </c>
      <c r="J28" s="81"/>
      <c r="K28" s="81"/>
      <c r="L28" s="81"/>
      <c r="M28" s="81"/>
      <c r="N28" s="81"/>
      <c r="O28" s="81"/>
      <c r="P28" s="81"/>
      <c r="Q28" s="81"/>
      <c r="R28" s="81"/>
      <c r="S28" s="81"/>
      <c r="T28" s="81"/>
      <c r="U28" s="81"/>
    </row>
    <row r="29" spans="1:21" s="9" customFormat="1" ht="22.35" customHeight="1" x14ac:dyDescent="0.3">
      <c r="A29" s="900" t="s">
        <v>962</v>
      </c>
      <c r="B29" s="39">
        <v>1136</v>
      </c>
      <c r="C29" s="866">
        <f>'Звіт   9'!E35</f>
        <v>0</v>
      </c>
      <c r="D29" s="866">
        <f>'Звіт   9'!F35</f>
        <v>0</v>
      </c>
      <c r="E29" s="866">
        <f>'Звіт   9'!G35</f>
        <v>0</v>
      </c>
      <c r="F29" s="866">
        <f>'Звіт   9'!H35</f>
        <v>0</v>
      </c>
      <c r="G29" s="866">
        <f>'Звіт   9'!I35</f>
        <v>0</v>
      </c>
      <c r="H29" s="866">
        <f>'Звіт   9'!J35</f>
        <v>0</v>
      </c>
      <c r="I29" s="866">
        <f>'Звіт   9'!K35</f>
        <v>0</v>
      </c>
      <c r="J29" s="81"/>
      <c r="K29" s="81"/>
      <c r="L29" s="81"/>
      <c r="M29" s="81"/>
      <c r="N29" s="81"/>
      <c r="O29" s="81"/>
      <c r="P29" s="81"/>
      <c r="Q29" s="81"/>
      <c r="R29" s="81"/>
      <c r="S29" s="81"/>
      <c r="T29" s="81"/>
      <c r="U29" s="81"/>
    </row>
    <row r="30" spans="1:21" s="9" customFormat="1" ht="22.35" customHeight="1" x14ac:dyDescent="0.3">
      <c r="A30" s="900" t="s">
        <v>963</v>
      </c>
      <c r="B30" s="37">
        <v>1155</v>
      </c>
      <c r="C30" s="866">
        <f>'Звіт   9'!E36</f>
        <v>495.8</v>
      </c>
      <c r="D30" s="866">
        <f>'Звіт   9'!F36</f>
        <v>0</v>
      </c>
      <c r="E30" s="866">
        <f>'Звіт   9'!G36</f>
        <v>0</v>
      </c>
      <c r="F30" s="866">
        <f>'Звіт   9'!H36</f>
        <v>495.8</v>
      </c>
      <c r="G30" s="866">
        <f>'Звіт   9'!I36</f>
        <v>379.2</v>
      </c>
      <c r="H30" s="866">
        <f>'Звіт   9'!J36</f>
        <v>0</v>
      </c>
      <c r="I30" s="866">
        <f>'Звіт   9'!K36</f>
        <v>379.2</v>
      </c>
      <c r="J30" s="81"/>
      <c r="K30" s="81"/>
      <c r="L30" s="81"/>
      <c r="M30" s="81"/>
      <c r="N30" s="81"/>
      <c r="O30" s="81"/>
      <c r="P30" s="81"/>
      <c r="Q30" s="81"/>
      <c r="R30" s="81"/>
      <c r="S30" s="81"/>
      <c r="T30" s="81"/>
      <c r="U30" s="81"/>
    </row>
    <row r="31" spans="1:21" s="9" customFormat="1" ht="22.35" customHeight="1" x14ac:dyDescent="0.3">
      <c r="A31" s="900" t="s">
        <v>964</v>
      </c>
      <c r="B31" s="37" t="s">
        <v>935</v>
      </c>
      <c r="C31" s="866">
        <f>'Звіт   9'!E37</f>
        <v>269.8</v>
      </c>
      <c r="D31" s="866">
        <f>'Звіт   9'!F37</f>
        <v>0</v>
      </c>
      <c r="E31" s="866">
        <f>'Звіт   9'!G37</f>
        <v>0</v>
      </c>
      <c r="F31" s="866">
        <f>'Звіт   9'!H37</f>
        <v>269.8</v>
      </c>
      <c r="G31" s="866">
        <f>'Звіт   9'!I37</f>
        <v>153.19999999999999</v>
      </c>
      <c r="H31" s="866">
        <f>'Звіт   9'!J37</f>
        <v>0</v>
      </c>
      <c r="I31" s="866">
        <f>'Звіт   9'!K37</f>
        <v>153.19999999999999</v>
      </c>
      <c r="J31" s="81"/>
      <c r="K31" s="81"/>
      <c r="L31" s="81"/>
      <c r="M31" s="81"/>
      <c r="N31" s="81"/>
      <c r="O31" s="81"/>
      <c r="P31" s="81"/>
      <c r="Q31" s="81"/>
      <c r="R31" s="81"/>
      <c r="S31" s="81"/>
      <c r="T31" s="81"/>
      <c r="U31" s="81"/>
    </row>
    <row r="32" spans="1:21" s="9" customFormat="1" ht="43.5" customHeight="1" x14ac:dyDescent="0.3">
      <c r="A32" s="900" t="s">
        <v>965</v>
      </c>
      <c r="B32" s="37" t="s">
        <v>936</v>
      </c>
      <c r="C32" s="866">
        <f>'Звіт   9'!E38</f>
        <v>0</v>
      </c>
      <c r="D32" s="866">
        <f>'Звіт   9'!F38</f>
        <v>0</v>
      </c>
      <c r="E32" s="866">
        <f>'Звіт   9'!G38</f>
        <v>0</v>
      </c>
      <c r="F32" s="866">
        <f>'Звіт   9'!H38</f>
        <v>0</v>
      </c>
      <c r="G32" s="866">
        <f>'Звіт   9'!I38</f>
        <v>0</v>
      </c>
      <c r="H32" s="866">
        <f>'Звіт   9'!J38</f>
        <v>0</v>
      </c>
      <c r="I32" s="866">
        <f>'Звіт   9'!K38</f>
        <v>0</v>
      </c>
      <c r="J32" s="81"/>
      <c r="K32" s="81"/>
      <c r="L32" s="81"/>
      <c r="M32" s="81"/>
      <c r="N32" s="81"/>
      <c r="O32" s="81"/>
      <c r="P32" s="81"/>
      <c r="Q32" s="81"/>
      <c r="R32" s="81"/>
      <c r="S32" s="81"/>
      <c r="T32" s="81"/>
      <c r="U32" s="81"/>
    </row>
    <row r="33" spans="1:21" s="9" customFormat="1" ht="42" customHeight="1" x14ac:dyDescent="0.3">
      <c r="A33" s="900" t="s">
        <v>966</v>
      </c>
      <c r="B33" s="37" t="s">
        <v>937</v>
      </c>
      <c r="C33" s="866">
        <f>'Звіт   9'!E39</f>
        <v>226</v>
      </c>
      <c r="D33" s="866">
        <f>'Звіт   9'!F39</f>
        <v>0</v>
      </c>
      <c r="E33" s="866">
        <f>'Звіт   9'!G39</f>
        <v>0</v>
      </c>
      <c r="F33" s="866">
        <f>'Звіт   9'!H39</f>
        <v>226</v>
      </c>
      <c r="G33" s="866">
        <f>'Звіт   9'!I39</f>
        <v>226</v>
      </c>
      <c r="H33" s="866">
        <f>'Звіт   9'!J39</f>
        <v>0</v>
      </c>
      <c r="I33" s="866">
        <f>'Звіт   9'!K39</f>
        <v>226</v>
      </c>
      <c r="J33" s="81"/>
      <c r="K33" s="81"/>
      <c r="L33" s="81"/>
      <c r="M33" s="81"/>
      <c r="N33" s="81"/>
      <c r="O33" s="81"/>
      <c r="P33" s="81"/>
      <c r="Q33" s="81"/>
      <c r="R33" s="81"/>
      <c r="S33" s="81"/>
      <c r="T33" s="81"/>
      <c r="U33" s="81"/>
    </row>
    <row r="34" spans="1:21" s="9" customFormat="1" ht="22.35" customHeight="1" x14ac:dyDescent="0.3">
      <c r="A34" s="900" t="s">
        <v>967</v>
      </c>
      <c r="B34" s="37">
        <v>1160</v>
      </c>
      <c r="C34" s="866">
        <f>'Звіт   9'!E40</f>
        <v>0</v>
      </c>
      <c r="D34" s="866">
        <f>'Звіт   9'!F40</f>
        <v>0</v>
      </c>
      <c r="E34" s="866">
        <f>'Звіт   9'!G40</f>
        <v>0</v>
      </c>
      <c r="F34" s="866">
        <f>'Звіт   9'!H40</f>
        <v>0</v>
      </c>
      <c r="G34" s="866">
        <f>'Звіт   9'!I40</f>
        <v>0</v>
      </c>
      <c r="H34" s="866">
        <f>'Звіт   9'!J40</f>
        <v>0</v>
      </c>
      <c r="I34" s="866">
        <f>'Звіт   9'!K40</f>
        <v>0</v>
      </c>
      <c r="J34" s="81"/>
      <c r="K34" s="81"/>
      <c r="L34" s="81"/>
      <c r="M34" s="81"/>
      <c r="N34" s="81"/>
      <c r="O34" s="81"/>
      <c r="P34" s="81"/>
      <c r="Q34" s="81"/>
      <c r="R34" s="81"/>
      <c r="S34" s="81"/>
      <c r="T34" s="81"/>
      <c r="U34" s="81"/>
    </row>
    <row r="35" spans="1:21" s="9" customFormat="1" ht="22.35" customHeight="1" x14ac:dyDescent="0.3">
      <c r="A35" s="900" t="s">
        <v>968</v>
      </c>
      <c r="B35" s="37">
        <v>1165</v>
      </c>
      <c r="C35" s="866">
        <f>'Звіт   9'!E41</f>
        <v>3908.7</v>
      </c>
      <c r="D35" s="866">
        <f>'Звіт   9'!F41</f>
        <v>0</v>
      </c>
      <c r="E35" s="866">
        <f>'Звіт   9'!G41</f>
        <v>0</v>
      </c>
      <c r="F35" s="866">
        <f>'Звіт   9'!H41</f>
        <v>3908.7</v>
      </c>
      <c r="G35" s="866">
        <f>'Звіт   9'!I41</f>
        <v>811.6</v>
      </c>
      <c r="H35" s="866">
        <f>'Звіт   9'!J41</f>
        <v>0</v>
      </c>
      <c r="I35" s="866">
        <f>'Звіт   9'!K41</f>
        <v>811.6</v>
      </c>
      <c r="J35" s="81"/>
      <c r="K35" s="81"/>
      <c r="L35" s="81"/>
      <c r="M35" s="81"/>
      <c r="N35" s="81"/>
      <c r="O35" s="81"/>
      <c r="P35" s="81"/>
      <c r="Q35" s="81"/>
      <c r="R35" s="81"/>
      <c r="S35" s="81"/>
      <c r="T35" s="81"/>
      <c r="U35" s="81"/>
    </row>
    <row r="36" spans="1:21" s="9" customFormat="1" ht="22.35" customHeight="1" x14ac:dyDescent="0.3">
      <c r="A36" s="900" t="s">
        <v>969</v>
      </c>
      <c r="B36" s="37">
        <v>1170</v>
      </c>
      <c r="C36" s="866">
        <f>'Звіт   9'!E42</f>
        <v>4.7</v>
      </c>
      <c r="D36" s="866">
        <f>'Звіт   9'!F42</f>
        <v>0</v>
      </c>
      <c r="E36" s="866">
        <f>'Звіт   9'!G42</f>
        <v>0</v>
      </c>
      <c r="F36" s="866">
        <f>'Звіт   9'!H42</f>
        <v>4.7</v>
      </c>
      <c r="G36" s="866">
        <f>'Звіт   9'!I42</f>
        <v>4.7</v>
      </c>
      <c r="H36" s="866">
        <f>'Звіт   9'!J42</f>
        <v>0</v>
      </c>
      <c r="I36" s="866">
        <f>'Звіт   9'!K42</f>
        <v>4.7</v>
      </c>
      <c r="J36" s="81"/>
      <c r="K36" s="81"/>
      <c r="L36" s="81"/>
      <c r="M36" s="81"/>
      <c r="N36" s="81"/>
      <c r="O36" s="81"/>
      <c r="P36" s="81"/>
      <c r="Q36" s="81"/>
      <c r="R36" s="81"/>
      <c r="S36" s="81"/>
      <c r="T36" s="81"/>
      <c r="U36" s="81"/>
    </row>
    <row r="37" spans="1:21" s="9" customFormat="1" ht="22.35" customHeight="1" x14ac:dyDescent="0.3">
      <c r="A37" s="900" t="s">
        <v>970</v>
      </c>
      <c r="B37" s="37">
        <v>1190</v>
      </c>
      <c r="C37" s="866">
        <f>'Звіт   9'!E43</f>
        <v>0</v>
      </c>
      <c r="D37" s="866">
        <f>'Звіт   9'!F43</f>
        <v>0</v>
      </c>
      <c r="E37" s="866">
        <f>'Звіт   9'!G43</f>
        <v>0</v>
      </c>
      <c r="F37" s="866">
        <f>'Звіт   9'!H43</f>
        <v>0</v>
      </c>
      <c r="G37" s="866">
        <f>'Звіт   9'!I43</f>
        <v>0</v>
      </c>
      <c r="H37" s="866">
        <f>'Звіт   9'!J43</f>
        <v>0</v>
      </c>
      <c r="I37" s="866">
        <f>'Звіт   9'!K43</f>
        <v>0</v>
      </c>
      <c r="J37" s="81"/>
      <c r="K37" s="81"/>
      <c r="L37" s="81"/>
      <c r="M37" s="81"/>
      <c r="N37" s="81"/>
      <c r="O37" s="81"/>
      <c r="P37" s="81"/>
      <c r="Q37" s="81"/>
      <c r="R37" s="81"/>
      <c r="S37" s="81"/>
      <c r="T37" s="81"/>
      <c r="U37" s="81"/>
    </row>
    <row r="38" spans="1:21" s="9" customFormat="1" ht="26.1" customHeight="1" thickBot="1" x14ac:dyDescent="0.4">
      <c r="A38" s="900" t="s">
        <v>971</v>
      </c>
      <c r="B38" s="223">
        <v>1195</v>
      </c>
      <c r="C38" s="875">
        <f>'Звіт   9'!E44</f>
        <v>33026.200000000004</v>
      </c>
      <c r="D38" s="875">
        <f>'Звіт   9'!F44</f>
        <v>0</v>
      </c>
      <c r="E38" s="875">
        <f>'Звіт   9'!G44</f>
        <v>0</v>
      </c>
      <c r="F38" s="875">
        <f>'Звіт   9'!H44</f>
        <v>33026.199999999997</v>
      </c>
      <c r="G38" s="875">
        <f>'Звіт   9'!I44</f>
        <v>32664.9</v>
      </c>
      <c r="H38" s="875">
        <f>'Звіт   9'!J44</f>
        <v>0</v>
      </c>
      <c r="I38" s="875">
        <f>'Звіт   9'!K44</f>
        <v>32664.9</v>
      </c>
      <c r="J38" s="81"/>
      <c r="K38" s="81"/>
      <c r="L38" s="81"/>
      <c r="M38" s="81"/>
      <c r="N38" s="81"/>
      <c r="O38" s="81"/>
      <c r="P38" s="81"/>
      <c r="Q38" s="81"/>
      <c r="R38" s="81"/>
      <c r="S38" s="81"/>
      <c r="T38" s="81"/>
      <c r="U38" s="81"/>
    </row>
    <row r="39" spans="1:21" s="9" customFormat="1" ht="27" customHeight="1" thickBot="1" x14ac:dyDescent="0.35">
      <c r="A39" s="900" t="s">
        <v>972</v>
      </c>
      <c r="B39" s="225">
        <v>1200</v>
      </c>
      <c r="C39" s="877">
        <f>'Звіт   9'!E45</f>
        <v>0</v>
      </c>
      <c r="D39" s="877">
        <f>'Звіт   9'!F45</f>
        <v>0</v>
      </c>
      <c r="E39" s="877">
        <f>'Звіт   9'!G45</f>
        <v>0</v>
      </c>
      <c r="F39" s="877">
        <f>'Звіт   9'!H45</f>
        <v>0</v>
      </c>
      <c r="G39" s="877">
        <f>'Звіт   9'!I45</f>
        <v>0</v>
      </c>
      <c r="H39" s="877">
        <f>'Звіт   9'!J45</f>
        <v>0</v>
      </c>
      <c r="I39" s="877">
        <f>'Звіт   9'!K45</f>
        <v>0</v>
      </c>
      <c r="J39" s="81"/>
      <c r="K39" s="81"/>
      <c r="L39" s="81"/>
      <c r="M39" s="81"/>
      <c r="N39" s="81"/>
      <c r="O39" s="81"/>
      <c r="P39" s="81"/>
      <c r="Q39" s="81"/>
      <c r="R39" s="81"/>
      <c r="S39" s="81"/>
      <c r="T39" s="81"/>
      <c r="U39" s="81"/>
    </row>
    <row r="40" spans="1:21" s="9" customFormat="1" ht="28.15" customHeight="1" thickBot="1" x14ac:dyDescent="0.35">
      <c r="A40" s="900" t="s">
        <v>973</v>
      </c>
      <c r="B40" s="231">
        <v>1300</v>
      </c>
      <c r="C40" s="878">
        <f>'Звіт   9'!E46</f>
        <v>71621.5</v>
      </c>
      <c r="D40" s="878">
        <f>'Звіт   9'!F46</f>
        <v>0</v>
      </c>
      <c r="E40" s="878">
        <f>'Звіт   9'!G46</f>
        <v>9919.4000000000015</v>
      </c>
      <c r="F40" s="878">
        <f>'Звіт   9'!H46</f>
        <v>81540.899999999994</v>
      </c>
      <c r="G40" s="878">
        <f>'Звіт   9'!I46</f>
        <v>81089</v>
      </c>
      <c r="H40" s="878">
        <f>'Звіт   9'!J46</f>
        <v>0</v>
      </c>
      <c r="I40" s="878">
        <f>'Звіт   9'!K46</f>
        <v>81089</v>
      </c>
      <c r="J40" s="81"/>
      <c r="K40" s="81"/>
      <c r="L40" s="81"/>
      <c r="M40" s="81"/>
      <c r="N40" s="81"/>
      <c r="O40" s="81"/>
      <c r="P40" s="81"/>
      <c r="Q40" s="81"/>
      <c r="R40" s="81"/>
      <c r="S40" s="81"/>
      <c r="T40" s="81"/>
      <c r="U40" s="81"/>
    </row>
    <row r="41" spans="1:21" s="9" customFormat="1" ht="45.6" customHeight="1" x14ac:dyDescent="0.3">
      <c r="A41" s="900" t="s">
        <v>974</v>
      </c>
      <c r="B41" s="319" t="str">
        <f>B2</f>
        <v>Код рядка</v>
      </c>
      <c r="C41" s="448" t="str">
        <f>'Звіт   9'!E47</f>
        <v>На початок звітного періоду</v>
      </c>
      <c r="D41" s="939" t="str">
        <f>'Звіт   9'!F47</f>
        <v xml:space="preserve">Коригування </v>
      </c>
      <c r="E41" s="939" t="str">
        <f>'Звіт   9'!G47</f>
        <v>З балансу на баланс у звітному періоді</v>
      </c>
      <c r="F41" s="939" t="str">
        <f>'Звіт   9'!H47</f>
        <v>На початок звітного періоду з урахуванням коригування та прийняття на баланс</v>
      </c>
      <c r="G41" s="939" t="str">
        <f>'Звіт   9'!I47</f>
        <v>На кінець звітного періоду</v>
      </c>
      <c r="H41" s="939" t="str">
        <f>'Звіт   9'!J47</f>
        <v xml:space="preserve">Коригування </v>
      </c>
      <c r="I41" s="939" t="str">
        <f>'Звіт   9'!K47</f>
        <v>На кінець звітного періоду з урахуванням коригування</v>
      </c>
      <c r="J41" s="81"/>
      <c r="K41" s="81"/>
      <c r="L41" s="81"/>
      <c r="M41" s="81"/>
      <c r="N41" s="81"/>
      <c r="O41" s="81"/>
      <c r="P41" s="81"/>
      <c r="Q41" s="81"/>
      <c r="R41" s="81"/>
      <c r="S41" s="81"/>
      <c r="T41" s="81"/>
      <c r="U41" s="81"/>
    </row>
    <row r="42" spans="1:21" s="9" customFormat="1" ht="22.35" customHeight="1" x14ac:dyDescent="0.3">
      <c r="A42" s="900" t="s">
        <v>975</v>
      </c>
      <c r="B42" s="40">
        <v>1399</v>
      </c>
      <c r="C42" s="879">
        <f>'Звіт   9'!E49</f>
        <v>0</v>
      </c>
      <c r="D42" s="879">
        <f>'Звіт   9'!F49</f>
        <v>0</v>
      </c>
      <c r="E42" s="879">
        <f>'Звіт   9'!G49</f>
        <v>0</v>
      </c>
      <c r="F42" s="879">
        <f>'Звіт   9'!H49</f>
        <v>0</v>
      </c>
      <c r="G42" s="879">
        <f>'Звіт   9'!I49</f>
        <v>0</v>
      </c>
      <c r="H42" s="879">
        <f>'Звіт   9'!J49</f>
        <v>0</v>
      </c>
      <c r="I42" s="879">
        <f>'Звіт   9'!K49</f>
        <v>0</v>
      </c>
      <c r="J42" s="81"/>
      <c r="K42" s="81"/>
      <c r="L42" s="81"/>
      <c r="M42" s="81"/>
      <c r="N42" s="81"/>
      <c r="O42" s="81"/>
      <c r="P42" s="81"/>
      <c r="Q42" s="81"/>
      <c r="R42" s="81"/>
      <c r="S42" s="81"/>
      <c r="T42" s="81"/>
      <c r="U42" s="81"/>
    </row>
    <row r="43" spans="1:21" s="9" customFormat="1" ht="22.35" customHeight="1" x14ac:dyDescent="0.3">
      <c r="A43" s="900" t="s">
        <v>976</v>
      </c>
      <c r="B43" s="37">
        <v>1400</v>
      </c>
      <c r="C43" s="866">
        <f>'Звіт   9'!E50</f>
        <v>46007.1</v>
      </c>
      <c r="D43" s="866">
        <f>'Звіт   9'!F50</f>
        <v>0</v>
      </c>
      <c r="E43" s="866">
        <f>'Звіт   9'!G50</f>
        <v>0</v>
      </c>
      <c r="F43" s="866">
        <f>'Звіт   9'!H50</f>
        <v>46007.1</v>
      </c>
      <c r="G43" s="866">
        <f>'Звіт   9'!I50</f>
        <v>46007.1</v>
      </c>
      <c r="H43" s="866">
        <f>'Звіт   9'!J50</f>
        <v>0</v>
      </c>
      <c r="I43" s="866">
        <f>'Звіт   9'!K50</f>
        <v>46007.1</v>
      </c>
      <c r="J43" s="81"/>
      <c r="K43" s="81"/>
      <c r="L43" s="81"/>
      <c r="M43" s="81"/>
      <c r="N43" s="81"/>
      <c r="O43" s="81"/>
      <c r="P43" s="81"/>
      <c r="Q43" s="81"/>
      <c r="R43" s="81"/>
      <c r="S43" s="81"/>
      <c r="T43" s="81"/>
      <c r="U43" s="81"/>
    </row>
    <row r="44" spans="1:21" s="9" customFormat="1" ht="22.35" customHeight="1" x14ac:dyDescent="0.3">
      <c r="A44" s="900" t="s">
        <v>977</v>
      </c>
      <c r="B44" s="37">
        <v>1405</v>
      </c>
      <c r="C44" s="866">
        <f>'Звіт   9'!E51</f>
        <v>0</v>
      </c>
      <c r="D44" s="866">
        <f>'Звіт   9'!F51</f>
        <v>0</v>
      </c>
      <c r="E44" s="866">
        <f>'Звіт   9'!G51</f>
        <v>0</v>
      </c>
      <c r="F44" s="866">
        <f>'Звіт   9'!H51</f>
        <v>0</v>
      </c>
      <c r="G44" s="866">
        <f>'Звіт   9'!I51</f>
        <v>0</v>
      </c>
      <c r="H44" s="866">
        <f>'Звіт   9'!J51</f>
        <v>0</v>
      </c>
      <c r="I44" s="866">
        <f>'Звіт   9'!K51</f>
        <v>0</v>
      </c>
      <c r="J44" s="81"/>
      <c r="K44" s="81"/>
      <c r="L44" s="81"/>
      <c r="M44" s="81"/>
      <c r="N44" s="81"/>
      <c r="O44" s="81"/>
      <c r="P44" s="81"/>
      <c r="Q44" s="81"/>
      <c r="R44" s="81"/>
      <c r="S44" s="81"/>
      <c r="T44" s="81"/>
      <c r="U44" s="81"/>
    </row>
    <row r="45" spans="1:21" s="9" customFormat="1" ht="22.35" customHeight="1" x14ac:dyDescent="0.3">
      <c r="A45" s="900" t="s">
        <v>978</v>
      </c>
      <c r="B45" s="129">
        <v>1410</v>
      </c>
      <c r="C45" s="866">
        <f>'Звіт   9'!E52</f>
        <v>13761.7</v>
      </c>
      <c r="D45" s="866">
        <f>'Звіт   9'!F52</f>
        <v>0</v>
      </c>
      <c r="E45" s="866">
        <f>'Звіт   9'!G52</f>
        <v>9919.4</v>
      </c>
      <c r="F45" s="866">
        <f>'Звіт   9'!H52</f>
        <v>23681.1</v>
      </c>
      <c r="G45" s="866">
        <f>'Звіт   9'!I52</f>
        <v>23659.599999999999</v>
      </c>
      <c r="H45" s="866">
        <f>'Звіт   9'!J52</f>
        <v>0</v>
      </c>
      <c r="I45" s="866">
        <f>'Звіт   9'!K52</f>
        <v>23659.599999999999</v>
      </c>
      <c r="J45" s="81"/>
      <c r="K45" s="81"/>
      <c r="L45" s="81"/>
      <c r="M45" s="81"/>
      <c r="N45" s="81"/>
      <c r="O45" s="81"/>
      <c r="P45" s="81"/>
      <c r="Q45" s="81"/>
      <c r="R45" s="81"/>
      <c r="S45" s="81"/>
      <c r="T45" s="81"/>
      <c r="U45" s="81"/>
    </row>
    <row r="46" spans="1:21" s="9" customFormat="1" ht="24" customHeight="1" x14ac:dyDescent="0.3">
      <c r="A46" s="900" t="s">
        <v>979</v>
      </c>
      <c r="B46" s="129" t="s">
        <v>938</v>
      </c>
      <c r="C46" s="866">
        <f>'Звіт   9'!E53</f>
        <v>13761.7</v>
      </c>
      <c r="D46" s="866">
        <f>'Звіт   9'!F53</f>
        <v>0</v>
      </c>
      <c r="E46" s="866">
        <f>'Звіт   9'!G53</f>
        <v>9919.4</v>
      </c>
      <c r="F46" s="866">
        <f>'Звіт   9'!H53</f>
        <v>23681.1</v>
      </c>
      <c r="G46" s="866">
        <f>'Звіт   9'!I53</f>
        <v>23659.599999999999</v>
      </c>
      <c r="H46" s="866">
        <f>'Звіт   9'!J53</f>
        <v>0</v>
      </c>
      <c r="I46" s="866">
        <f>'Звіт   9'!K53</f>
        <v>23659.599999999999</v>
      </c>
      <c r="J46" s="81"/>
      <c r="K46" s="81"/>
      <c r="L46" s="81"/>
      <c r="M46" s="81"/>
      <c r="N46" s="81"/>
      <c r="O46" s="81"/>
      <c r="P46" s="81"/>
      <c r="Q46" s="81"/>
      <c r="R46" s="81"/>
      <c r="S46" s="81"/>
      <c r="T46" s="81"/>
      <c r="U46" s="81"/>
    </row>
    <row r="47" spans="1:21" s="9" customFormat="1" ht="26.25" customHeight="1" x14ac:dyDescent="0.3">
      <c r="A47" s="900" t="s">
        <v>980</v>
      </c>
      <c r="B47" s="129" t="s">
        <v>939</v>
      </c>
      <c r="C47" s="880">
        <f>'Звіт   9'!E54</f>
        <v>0</v>
      </c>
      <c r="D47" s="880">
        <f>'Звіт   9'!F54</f>
        <v>0</v>
      </c>
      <c r="E47" s="880">
        <f>'Звіт   9'!G54</f>
        <v>0</v>
      </c>
      <c r="F47" s="880">
        <f>'Звіт   9'!H54</f>
        <v>0</v>
      </c>
      <c r="G47" s="880">
        <f>'Звіт   9'!I54</f>
        <v>0</v>
      </c>
      <c r="H47" s="880">
        <f>'Звіт   9'!J54</f>
        <v>0</v>
      </c>
      <c r="I47" s="880">
        <f>'Звіт   9'!K54</f>
        <v>0</v>
      </c>
      <c r="J47" s="81"/>
      <c r="K47" s="81"/>
      <c r="L47" s="81"/>
      <c r="M47" s="81"/>
      <c r="N47" s="81"/>
      <c r="O47" s="81"/>
      <c r="P47" s="81"/>
      <c r="Q47" s="81"/>
      <c r="R47" s="81"/>
      <c r="S47" s="81"/>
      <c r="T47" s="81"/>
      <c r="U47" s="81"/>
    </row>
    <row r="48" spans="1:21" s="9" customFormat="1" ht="22.35" customHeight="1" x14ac:dyDescent="0.3">
      <c r="A48" s="900" t="s">
        <v>981</v>
      </c>
      <c r="B48" s="129">
        <v>1415</v>
      </c>
      <c r="C48" s="417">
        <f>'Звіт   9'!E55</f>
        <v>0</v>
      </c>
      <c r="D48" s="417">
        <f>'Звіт   9'!F55</f>
        <v>0</v>
      </c>
      <c r="E48" s="417">
        <f>'Звіт   9'!G55</f>
        <v>0</v>
      </c>
      <c r="F48" s="417">
        <f>'Звіт   9'!H55</f>
        <v>0</v>
      </c>
      <c r="G48" s="417">
        <f>'Звіт   9'!I55</f>
        <v>0</v>
      </c>
      <c r="H48" s="417">
        <f>'Звіт   9'!J55</f>
        <v>0</v>
      </c>
      <c r="I48" s="417">
        <f>'Звіт   9'!K55</f>
        <v>0</v>
      </c>
      <c r="J48" s="81"/>
      <c r="K48" s="81"/>
      <c r="L48" s="81"/>
      <c r="M48" s="81"/>
      <c r="N48" s="81"/>
      <c r="O48" s="81"/>
      <c r="P48" s="81"/>
      <c r="Q48" s="81"/>
      <c r="R48" s="81"/>
      <c r="S48" s="81"/>
      <c r="T48" s="81"/>
      <c r="U48" s="81"/>
    </row>
    <row r="49" spans="1:21" s="9" customFormat="1" ht="22.35" customHeight="1" x14ac:dyDescent="0.3">
      <c r="A49" s="900" t="s">
        <v>982</v>
      </c>
      <c r="B49" s="129">
        <v>1420</v>
      </c>
      <c r="C49" s="417">
        <f>'Звіт   9'!E56</f>
        <v>4517.6000000000004</v>
      </c>
      <c r="D49" s="417">
        <f>'Звіт   9'!F56</f>
        <v>0</v>
      </c>
      <c r="E49" s="417">
        <f>'Звіт   9'!G56</f>
        <v>0</v>
      </c>
      <c r="F49" s="417">
        <f>'Звіт   9'!H56</f>
        <v>4517.6000000000004</v>
      </c>
      <c r="G49" s="417">
        <f>'Звіт   9'!I56</f>
        <v>-5517.2</v>
      </c>
      <c r="H49" s="417">
        <f>'Звіт   9'!J56</f>
        <v>0</v>
      </c>
      <c r="I49" s="417">
        <f>'Звіт   9'!K56</f>
        <v>-5517.2</v>
      </c>
      <c r="J49" s="81"/>
      <c r="K49" s="81"/>
      <c r="L49" s="81"/>
      <c r="M49" s="81"/>
      <c r="N49" s="81"/>
      <c r="O49" s="81"/>
      <c r="P49" s="81"/>
      <c r="Q49" s="81"/>
      <c r="R49" s="81"/>
      <c r="S49" s="81"/>
      <c r="T49" s="81"/>
      <c r="U49" s="81"/>
    </row>
    <row r="50" spans="1:21" s="9" customFormat="1" ht="22.35" customHeight="1" x14ac:dyDescent="0.3">
      <c r="A50" s="900" t="s">
        <v>983</v>
      </c>
      <c r="B50" s="37">
        <v>1425</v>
      </c>
      <c r="C50" s="417">
        <f>'Звіт   9'!E57</f>
        <v>-21299</v>
      </c>
      <c r="D50" s="417">
        <f>'Звіт   9'!F57</f>
        <v>0</v>
      </c>
      <c r="E50" s="417">
        <f>'Звіт   9'!G57</f>
        <v>0</v>
      </c>
      <c r="F50" s="417">
        <f>'Звіт   9'!H57</f>
        <v>-21299</v>
      </c>
      <c r="G50" s="417">
        <f>'Звіт   9'!I57</f>
        <v>-21299</v>
      </c>
      <c r="H50" s="417">
        <f>'Звіт   9'!J57</f>
        <v>0</v>
      </c>
      <c r="I50" s="417">
        <f>'Звіт   9'!K57</f>
        <v>-21299</v>
      </c>
      <c r="J50" s="81"/>
      <c r="K50" s="81"/>
      <c r="L50" s="81"/>
      <c r="M50" s="81"/>
      <c r="N50" s="81"/>
      <c r="O50" s="81"/>
      <c r="P50" s="81"/>
      <c r="Q50" s="81"/>
      <c r="R50" s="81"/>
      <c r="S50" s="81"/>
      <c r="T50" s="81"/>
      <c r="U50" s="81"/>
    </row>
    <row r="51" spans="1:21" s="9" customFormat="1" ht="22.35" customHeight="1" x14ac:dyDescent="0.3">
      <c r="A51" s="900" t="s">
        <v>984</v>
      </c>
      <c r="B51" s="37">
        <v>1430</v>
      </c>
      <c r="C51" s="866">
        <f>'Звіт   9'!E58</f>
        <v>0</v>
      </c>
      <c r="D51" s="866">
        <f>'Звіт   9'!F58</f>
        <v>0</v>
      </c>
      <c r="E51" s="866">
        <f>'Звіт   9'!G58</f>
        <v>0</v>
      </c>
      <c r="F51" s="866">
        <f>'Звіт   9'!H58</f>
        <v>0</v>
      </c>
      <c r="G51" s="866">
        <f>'Звіт   9'!I58</f>
        <v>0</v>
      </c>
      <c r="H51" s="866">
        <f>'Звіт   9'!J58</f>
        <v>0</v>
      </c>
      <c r="I51" s="866">
        <f>'Звіт   9'!K58</f>
        <v>0</v>
      </c>
      <c r="J51" s="81"/>
      <c r="K51" s="81"/>
      <c r="L51" s="81"/>
      <c r="M51" s="81"/>
      <c r="N51" s="81"/>
      <c r="O51" s="81"/>
      <c r="P51" s="81"/>
      <c r="Q51" s="81"/>
      <c r="R51" s="81"/>
      <c r="S51" s="81"/>
      <c r="T51" s="81"/>
      <c r="U51" s="81"/>
    </row>
    <row r="52" spans="1:21" s="9" customFormat="1" ht="22.35" customHeight="1" thickBot="1" x14ac:dyDescent="0.4">
      <c r="A52" s="900" t="s">
        <v>985</v>
      </c>
      <c r="B52" s="223">
        <v>1495</v>
      </c>
      <c r="C52" s="881">
        <f>'Звіт   9'!E59</f>
        <v>42987.4</v>
      </c>
      <c r="D52" s="881">
        <f>'Звіт   9'!F59</f>
        <v>0</v>
      </c>
      <c r="E52" s="881">
        <f>'Звіт   9'!G59</f>
        <v>9919.4</v>
      </c>
      <c r="F52" s="881">
        <f>'Звіт   9'!H59</f>
        <v>52906.8</v>
      </c>
      <c r="G52" s="881">
        <f>'Звіт   9'!I59</f>
        <v>42850.5</v>
      </c>
      <c r="H52" s="881">
        <f>'Звіт   9'!J59</f>
        <v>0</v>
      </c>
      <c r="I52" s="881">
        <f>'Звіт   9'!K59</f>
        <v>42850.5</v>
      </c>
      <c r="J52" s="81"/>
      <c r="K52" s="81"/>
      <c r="L52" s="81"/>
      <c r="M52" s="81"/>
      <c r="N52" s="81"/>
      <c r="O52" s="81"/>
      <c r="P52" s="81"/>
      <c r="Q52" s="81"/>
      <c r="R52" s="81"/>
      <c r="S52" s="81"/>
      <c r="T52" s="81"/>
      <c r="U52" s="81"/>
    </row>
    <row r="53" spans="1:21" s="9" customFormat="1" ht="18" customHeight="1" x14ac:dyDescent="0.3">
      <c r="A53" s="900" t="s">
        <v>986</v>
      </c>
      <c r="B53" s="222">
        <v>1499</v>
      </c>
      <c r="C53" s="882">
        <f>'Звіт   9'!E60</f>
        <v>0</v>
      </c>
      <c r="D53" s="882">
        <f>'Звіт   9'!F60</f>
        <v>0</v>
      </c>
      <c r="E53" s="882">
        <f>'Звіт   9'!G60</f>
        <v>0</v>
      </c>
      <c r="F53" s="882">
        <f>'Звіт   9'!H60</f>
        <v>0</v>
      </c>
      <c r="G53" s="882">
        <f>'Звіт   9'!I60</f>
        <v>0</v>
      </c>
      <c r="H53" s="882">
        <f>'Звіт   9'!J60</f>
        <v>0</v>
      </c>
      <c r="I53" s="882">
        <f>'Звіт   9'!K60</f>
        <v>0</v>
      </c>
      <c r="J53" s="81"/>
      <c r="K53" s="81"/>
      <c r="L53" s="81"/>
      <c r="M53" s="81"/>
      <c r="N53" s="81"/>
      <c r="O53" s="81"/>
      <c r="P53" s="81"/>
      <c r="Q53" s="81"/>
      <c r="R53" s="81"/>
      <c r="S53" s="81"/>
      <c r="T53" s="81"/>
      <c r="U53" s="81"/>
    </row>
    <row r="54" spans="1:21" s="9" customFormat="1" ht="22.35" customHeight="1" x14ac:dyDescent="0.3">
      <c r="A54" s="900" t="s">
        <v>987</v>
      </c>
      <c r="B54" s="37">
        <v>1500</v>
      </c>
      <c r="C54" s="866">
        <f>'Звіт   9'!E61</f>
        <v>0</v>
      </c>
      <c r="D54" s="866">
        <f>'Звіт   9'!F61</f>
        <v>0</v>
      </c>
      <c r="E54" s="866">
        <f>'Звіт   9'!G61</f>
        <v>0</v>
      </c>
      <c r="F54" s="866">
        <f>'Звіт   9'!H61</f>
        <v>0</v>
      </c>
      <c r="G54" s="866">
        <f>'Звіт   9'!I61</f>
        <v>0</v>
      </c>
      <c r="H54" s="866">
        <f>'Звіт   9'!J61</f>
        <v>0</v>
      </c>
      <c r="I54" s="866">
        <f>'Звіт   9'!K61</f>
        <v>0</v>
      </c>
      <c r="J54" s="81"/>
      <c r="K54" s="81"/>
      <c r="L54" s="81"/>
      <c r="M54" s="81"/>
      <c r="N54" s="81"/>
      <c r="O54" s="81"/>
      <c r="P54" s="81"/>
      <c r="Q54" s="81"/>
      <c r="R54" s="81"/>
      <c r="S54" s="81"/>
      <c r="T54" s="81"/>
      <c r="U54" s="81"/>
    </row>
    <row r="55" spans="1:21" s="9" customFormat="1" ht="22.35" customHeight="1" x14ac:dyDescent="0.3">
      <c r="A55" s="900" t="s">
        <v>988</v>
      </c>
      <c r="B55" s="37">
        <v>1510</v>
      </c>
      <c r="C55" s="866">
        <f>'Звіт   9'!E62</f>
        <v>0</v>
      </c>
      <c r="D55" s="866">
        <f>'Звіт   9'!F62</f>
        <v>0</v>
      </c>
      <c r="E55" s="866">
        <f>'Звіт   9'!G62</f>
        <v>0</v>
      </c>
      <c r="F55" s="866">
        <f>'Звіт   9'!H62</f>
        <v>0</v>
      </c>
      <c r="G55" s="866">
        <f>'Звіт   9'!I62</f>
        <v>0</v>
      </c>
      <c r="H55" s="866">
        <f>'Звіт   9'!J62</f>
        <v>0</v>
      </c>
      <c r="I55" s="866">
        <f>'Звіт   9'!K62</f>
        <v>0</v>
      </c>
      <c r="J55" s="81"/>
      <c r="K55" s="81"/>
      <c r="L55" s="81"/>
      <c r="M55" s="81"/>
      <c r="N55" s="81"/>
      <c r="O55" s="81"/>
      <c r="P55" s="81"/>
      <c r="Q55" s="81"/>
      <c r="R55" s="81"/>
      <c r="S55" s="81"/>
      <c r="T55" s="81"/>
      <c r="U55" s="81"/>
    </row>
    <row r="56" spans="1:21" s="9" customFormat="1" ht="22.35" customHeight="1" x14ac:dyDescent="0.3">
      <c r="A56" s="900" t="s">
        <v>989</v>
      </c>
      <c r="B56" s="37">
        <v>1515</v>
      </c>
      <c r="C56" s="866">
        <f>'Звіт   9'!E63</f>
        <v>0</v>
      </c>
      <c r="D56" s="866">
        <f>'Звіт   9'!F63</f>
        <v>0</v>
      </c>
      <c r="E56" s="866">
        <f>'Звіт   9'!G63</f>
        <v>0</v>
      </c>
      <c r="F56" s="866">
        <f>'Звіт   9'!H63</f>
        <v>0</v>
      </c>
      <c r="G56" s="866">
        <f>'Звіт   9'!I63</f>
        <v>0</v>
      </c>
      <c r="H56" s="866">
        <f>'Звіт   9'!J63</f>
        <v>0</v>
      </c>
      <c r="I56" s="866">
        <f>'Звіт   9'!K63</f>
        <v>0</v>
      </c>
      <c r="J56" s="81"/>
      <c r="K56" s="81"/>
      <c r="L56" s="81"/>
      <c r="M56" s="81"/>
      <c r="N56" s="81"/>
      <c r="O56" s="81"/>
      <c r="P56" s="81"/>
      <c r="Q56" s="81"/>
      <c r="R56" s="81"/>
      <c r="S56" s="81"/>
      <c r="T56" s="81"/>
      <c r="U56" s="81"/>
    </row>
    <row r="57" spans="1:21" s="9" customFormat="1" ht="22.35" customHeight="1" x14ac:dyDescent="0.3">
      <c r="A57" s="900" t="s">
        <v>990</v>
      </c>
      <c r="B57" s="37">
        <v>1520</v>
      </c>
      <c r="C57" s="866">
        <f>'Звіт   9'!E64</f>
        <v>0</v>
      </c>
      <c r="D57" s="866">
        <f>'Звіт   9'!F64</f>
        <v>0</v>
      </c>
      <c r="E57" s="866">
        <f>'Звіт   9'!G64</f>
        <v>0</v>
      </c>
      <c r="F57" s="866">
        <f>'Звіт   9'!H64</f>
        <v>0</v>
      </c>
      <c r="G57" s="866">
        <f>'Звіт   9'!I64</f>
        <v>0</v>
      </c>
      <c r="H57" s="866">
        <f>'Звіт   9'!J64</f>
        <v>0</v>
      </c>
      <c r="I57" s="866">
        <f>'Звіт   9'!K64</f>
        <v>0</v>
      </c>
      <c r="J57" s="81"/>
      <c r="K57" s="81"/>
      <c r="L57" s="81"/>
      <c r="M57" s="81"/>
      <c r="N57" s="81"/>
      <c r="O57" s="81"/>
      <c r="P57" s="81"/>
      <c r="Q57" s="81"/>
      <c r="R57" s="81"/>
      <c r="S57" s="81"/>
      <c r="T57" s="81"/>
      <c r="U57" s="81"/>
    </row>
    <row r="58" spans="1:21" s="9" customFormat="1" ht="22.35" customHeight="1" x14ac:dyDescent="0.3">
      <c r="A58" s="900" t="s">
        <v>991</v>
      </c>
      <c r="B58" s="37">
        <v>1525</v>
      </c>
      <c r="C58" s="866">
        <f>'Звіт   9'!E65</f>
        <v>27137.3</v>
      </c>
      <c r="D58" s="866">
        <f>'Звіт   9'!F65</f>
        <v>0</v>
      </c>
      <c r="E58" s="866">
        <f>'Звіт   9'!G65</f>
        <v>0</v>
      </c>
      <c r="F58" s="866">
        <f>'Звіт   9'!H65</f>
        <v>27137.3</v>
      </c>
      <c r="G58" s="866">
        <f>'Звіт   9'!I65</f>
        <v>31241.7</v>
      </c>
      <c r="H58" s="866">
        <f>'Звіт   9'!J65</f>
        <v>0</v>
      </c>
      <c r="I58" s="866">
        <f>'Звіт   9'!K65</f>
        <v>31241.7</v>
      </c>
      <c r="J58" s="81"/>
      <c r="K58" s="81"/>
      <c r="L58" s="81"/>
      <c r="M58" s="81"/>
      <c r="N58" s="81"/>
      <c r="O58" s="81"/>
      <c r="P58" s="81"/>
      <c r="Q58" s="81"/>
      <c r="R58" s="81"/>
      <c r="S58" s="81"/>
      <c r="T58" s="81"/>
      <c r="U58" s="81"/>
    </row>
    <row r="59" spans="1:21" s="9" customFormat="1" ht="27.75" customHeight="1" x14ac:dyDescent="0.3">
      <c r="A59" s="900" t="s">
        <v>992</v>
      </c>
      <c r="B59" s="37" t="s">
        <v>940</v>
      </c>
      <c r="C59" s="866">
        <f>'Звіт   9'!E66</f>
        <v>27030.7</v>
      </c>
      <c r="D59" s="866">
        <f>'Звіт   9'!F66</f>
        <v>0</v>
      </c>
      <c r="E59" s="866">
        <f>'Звіт   9'!G66</f>
        <v>0</v>
      </c>
      <c r="F59" s="866">
        <f>'Звіт   9'!H66</f>
        <v>27030.7</v>
      </c>
      <c r="G59" s="866">
        <f>'Звіт   9'!I66</f>
        <v>30445.1</v>
      </c>
      <c r="H59" s="866">
        <f>'Звіт   9'!J66</f>
        <v>0</v>
      </c>
      <c r="I59" s="866">
        <f>'Звіт   9'!K66</f>
        <v>30445.1</v>
      </c>
      <c r="J59" s="81"/>
      <c r="K59" s="81"/>
      <c r="L59" s="81"/>
      <c r="M59" s="81"/>
      <c r="N59" s="81"/>
      <c r="O59" s="81"/>
      <c r="P59" s="81"/>
      <c r="Q59" s="81"/>
      <c r="R59" s="81"/>
      <c r="S59" s="81"/>
      <c r="T59" s="81"/>
      <c r="U59" s="81"/>
    </row>
    <row r="60" spans="1:21" s="9" customFormat="1" ht="24.75" customHeight="1" x14ac:dyDescent="0.3">
      <c r="A60" s="900" t="s">
        <v>993</v>
      </c>
      <c r="B60" s="37" t="s">
        <v>941</v>
      </c>
      <c r="C60" s="866">
        <f>'Звіт   9'!E67</f>
        <v>106.6</v>
      </c>
      <c r="D60" s="866">
        <f>'Звіт   9'!F67</f>
        <v>0</v>
      </c>
      <c r="E60" s="866">
        <f>'Звіт   9'!G67</f>
        <v>0</v>
      </c>
      <c r="F60" s="866">
        <f>'Звіт   9'!H67</f>
        <v>106.6</v>
      </c>
      <c r="G60" s="866">
        <f>'Звіт   9'!I67</f>
        <v>60.9</v>
      </c>
      <c r="H60" s="866">
        <f>'Звіт   9'!J67</f>
        <v>0</v>
      </c>
      <c r="I60" s="866">
        <f>'Звіт   9'!K67</f>
        <v>60.9</v>
      </c>
      <c r="J60" s="81"/>
      <c r="K60" s="81"/>
      <c r="L60" s="81"/>
      <c r="M60" s="81"/>
      <c r="N60" s="81"/>
      <c r="O60" s="81"/>
      <c r="P60" s="81"/>
      <c r="Q60" s="81"/>
      <c r="R60" s="81"/>
      <c r="S60" s="81"/>
      <c r="T60" s="81"/>
      <c r="U60" s="81"/>
    </row>
    <row r="61" spans="1:21" s="9" customFormat="1" ht="25.15" customHeight="1" x14ac:dyDescent="0.3">
      <c r="A61" s="900" t="s">
        <v>994</v>
      </c>
      <c r="B61" s="318" t="s">
        <v>942</v>
      </c>
      <c r="C61" s="880">
        <f>'Звіт   9'!E68</f>
        <v>0</v>
      </c>
      <c r="D61" s="880">
        <f>'Звіт   9'!F68</f>
        <v>0</v>
      </c>
      <c r="E61" s="880">
        <f>'Звіт   9'!G68</f>
        <v>0</v>
      </c>
      <c r="F61" s="880">
        <f>'Звіт   9'!H68</f>
        <v>0</v>
      </c>
      <c r="G61" s="880">
        <f>'Звіт   9'!I68</f>
        <v>735.7</v>
      </c>
      <c r="H61" s="880">
        <f>'Звіт   9'!J68</f>
        <v>0</v>
      </c>
      <c r="I61" s="880">
        <f>'Звіт   9'!K68</f>
        <v>735.7</v>
      </c>
      <c r="J61" s="81"/>
      <c r="K61" s="81"/>
      <c r="L61" s="81"/>
      <c r="M61" s="81"/>
      <c r="N61" s="81"/>
      <c r="O61" s="81"/>
      <c r="P61" s="81"/>
      <c r="Q61" s="81"/>
      <c r="R61" s="81"/>
      <c r="S61" s="81"/>
      <c r="T61" s="81"/>
      <c r="U61" s="81"/>
    </row>
    <row r="62" spans="1:21" s="9" customFormat="1" ht="22.35" customHeight="1" thickBot="1" x14ac:dyDescent="0.35">
      <c r="A62" s="900" t="s">
        <v>995</v>
      </c>
      <c r="B62" s="336">
        <v>1595</v>
      </c>
      <c r="C62" s="883">
        <f>'Звіт   9'!E69</f>
        <v>27137.3</v>
      </c>
      <c r="D62" s="883">
        <f>'Звіт   9'!F69</f>
        <v>0</v>
      </c>
      <c r="E62" s="883">
        <f>'Звіт   9'!G69</f>
        <v>0</v>
      </c>
      <c r="F62" s="883">
        <f>'Звіт   9'!H69</f>
        <v>27137.3</v>
      </c>
      <c r="G62" s="883">
        <f>'Звіт   9'!I69</f>
        <v>31241.7</v>
      </c>
      <c r="H62" s="883">
        <f>'Звіт   9'!J69</f>
        <v>0</v>
      </c>
      <c r="I62" s="883">
        <f>'Звіт   9'!K69</f>
        <v>31241.7</v>
      </c>
      <c r="J62" s="81"/>
      <c r="K62" s="81"/>
      <c r="L62" s="81"/>
      <c r="M62" s="81"/>
      <c r="N62" s="81"/>
      <c r="O62" s="81"/>
      <c r="P62" s="81"/>
      <c r="Q62" s="81"/>
      <c r="R62" s="81"/>
      <c r="S62" s="81"/>
      <c r="T62" s="81"/>
      <c r="U62" s="81"/>
    </row>
    <row r="63" spans="1:21" s="9" customFormat="1" ht="27" customHeight="1" x14ac:dyDescent="0.3">
      <c r="A63" s="900" t="s">
        <v>996</v>
      </c>
      <c r="B63" s="222">
        <v>1599</v>
      </c>
      <c r="C63" s="882">
        <f>'Звіт   9'!E70</f>
        <v>0</v>
      </c>
      <c r="D63" s="882">
        <f>'Звіт   9'!F70</f>
        <v>0</v>
      </c>
      <c r="E63" s="882">
        <f>'Звіт   9'!G70</f>
        <v>0</v>
      </c>
      <c r="F63" s="882">
        <f>'Звіт   9'!H70</f>
        <v>0</v>
      </c>
      <c r="G63" s="882">
        <f>'Звіт   9'!I70</f>
        <v>0</v>
      </c>
      <c r="H63" s="882">
        <f>'Звіт   9'!J70</f>
        <v>0</v>
      </c>
      <c r="I63" s="882">
        <f>'Звіт   9'!K70</f>
        <v>0</v>
      </c>
      <c r="J63" s="81"/>
      <c r="K63" s="81"/>
      <c r="L63" s="81"/>
      <c r="M63" s="81"/>
      <c r="N63" s="81"/>
      <c r="O63" s="81"/>
      <c r="P63" s="81"/>
      <c r="Q63" s="81"/>
      <c r="R63" s="81"/>
      <c r="S63" s="81"/>
      <c r="T63" s="81"/>
      <c r="U63" s="81"/>
    </row>
    <row r="64" spans="1:21" s="9" customFormat="1" ht="22.35" customHeight="1" x14ac:dyDescent="0.3">
      <c r="A64" s="900" t="s">
        <v>997</v>
      </c>
      <c r="B64" s="37">
        <v>1600</v>
      </c>
      <c r="C64" s="866">
        <f>'Звіт   9'!E71</f>
        <v>0</v>
      </c>
      <c r="D64" s="866">
        <f>'Звіт   9'!F71</f>
        <v>0</v>
      </c>
      <c r="E64" s="866">
        <f>'Звіт   9'!G71</f>
        <v>0</v>
      </c>
      <c r="F64" s="866">
        <f>'Звіт   9'!H71</f>
        <v>0</v>
      </c>
      <c r="G64" s="866">
        <f>'Звіт   9'!I71</f>
        <v>0</v>
      </c>
      <c r="H64" s="866">
        <f>'Звіт   9'!J71</f>
        <v>0</v>
      </c>
      <c r="I64" s="866">
        <f>'Звіт   9'!K71</f>
        <v>0</v>
      </c>
      <c r="J64" s="81"/>
      <c r="K64" s="81"/>
      <c r="L64" s="81"/>
      <c r="M64" s="81"/>
      <c r="N64" s="81"/>
      <c r="O64" s="81"/>
      <c r="P64" s="81"/>
      <c r="Q64" s="81"/>
      <c r="R64" s="81"/>
      <c r="S64" s="81"/>
      <c r="T64" s="81"/>
      <c r="U64" s="81"/>
    </row>
    <row r="65" spans="1:21" s="9" customFormat="1" ht="22.35" customHeight="1" x14ac:dyDescent="0.3">
      <c r="A65" s="900" t="s">
        <v>998</v>
      </c>
      <c r="B65" s="37">
        <v>1609</v>
      </c>
      <c r="C65" s="884" t="str">
        <f>'Звіт   9'!E72</f>
        <v xml:space="preserve"> </v>
      </c>
      <c r="D65" s="884" t="str">
        <f>'Звіт   9'!F72</f>
        <v xml:space="preserve"> </v>
      </c>
      <c r="E65" s="884" t="str">
        <f>'Звіт   9'!G72</f>
        <v xml:space="preserve"> </v>
      </c>
      <c r="F65" s="884">
        <f>'Звіт   9'!H72</f>
        <v>0</v>
      </c>
      <c r="G65" s="884" t="str">
        <f>'Звіт   9'!I72</f>
        <v xml:space="preserve"> </v>
      </c>
      <c r="H65" s="884" t="str">
        <f>'Звіт   9'!J72</f>
        <v xml:space="preserve"> </v>
      </c>
      <c r="I65" s="884">
        <f>'Звіт   9'!K72</f>
        <v>0</v>
      </c>
      <c r="J65" s="81"/>
      <c r="K65" s="81"/>
      <c r="L65" s="81"/>
      <c r="M65" s="81"/>
      <c r="N65" s="81"/>
      <c r="O65" s="81"/>
      <c r="P65" s="81"/>
      <c r="Q65" s="81"/>
      <c r="R65" s="81"/>
      <c r="S65" s="81"/>
      <c r="T65" s="81"/>
      <c r="U65" s="81"/>
    </row>
    <row r="66" spans="1:21" s="9" customFormat="1" ht="22.35" customHeight="1" x14ac:dyDescent="0.3">
      <c r="A66" s="900" t="s">
        <v>999</v>
      </c>
      <c r="B66" s="37">
        <v>1610</v>
      </c>
      <c r="C66" s="866">
        <f>'Звіт   9'!E73</f>
        <v>0</v>
      </c>
      <c r="D66" s="866">
        <f>'Звіт   9'!F73</f>
        <v>0</v>
      </c>
      <c r="E66" s="866">
        <f>'Звіт   9'!G73</f>
        <v>0</v>
      </c>
      <c r="F66" s="866">
        <f>'Звіт   9'!H73</f>
        <v>0</v>
      </c>
      <c r="G66" s="866">
        <f>'Звіт   9'!I73</f>
        <v>0</v>
      </c>
      <c r="H66" s="866">
        <f>'Звіт   9'!J73</f>
        <v>0</v>
      </c>
      <c r="I66" s="866">
        <f>'Звіт   9'!K73</f>
        <v>0</v>
      </c>
      <c r="J66" s="81"/>
      <c r="K66" s="81"/>
      <c r="L66" s="81"/>
      <c r="M66" s="81"/>
      <c r="N66" s="81"/>
      <c r="O66" s="81"/>
      <c r="P66" s="81"/>
      <c r="Q66" s="81"/>
      <c r="R66" s="81"/>
      <c r="S66" s="81"/>
      <c r="T66" s="81"/>
      <c r="U66" s="81"/>
    </row>
    <row r="67" spans="1:21" s="9" customFormat="1" ht="22.35" customHeight="1" x14ac:dyDescent="0.3">
      <c r="A67" s="900" t="s">
        <v>1000</v>
      </c>
      <c r="B67" s="37">
        <v>1615</v>
      </c>
      <c r="C67" s="866">
        <f>'Звіт   9'!E74</f>
        <v>1038.0999999999999</v>
      </c>
      <c r="D67" s="866">
        <f>'Звіт   9'!F74</f>
        <v>0</v>
      </c>
      <c r="E67" s="866">
        <f>'Звіт   9'!G74</f>
        <v>0</v>
      </c>
      <c r="F67" s="866">
        <f>'Звіт   9'!H74</f>
        <v>1038.0999999999999</v>
      </c>
      <c r="G67" s="866">
        <f>'Звіт   9'!I74</f>
        <v>515.1</v>
      </c>
      <c r="H67" s="866">
        <f>'Звіт   9'!J74</f>
        <v>0</v>
      </c>
      <c r="I67" s="866">
        <f>'Звіт   9'!K74</f>
        <v>515.1</v>
      </c>
      <c r="J67" s="81"/>
      <c r="K67" s="81"/>
      <c r="L67" s="81"/>
      <c r="M67" s="81"/>
      <c r="N67" s="81"/>
      <c r="O67" s="81"/>
      <c r="P67" s="81"/>
      <c r="Q67" s="81"/>
      <c r="R67" s="81"/>
      <c r="S67" s="81"/>
      <c r="T67" s="81"/>
      <c r="U67" s="81"/>
    </row>
    <row r="68" spans="1:21" s="9" customFormat="1" ht="22.35" customHeight="1" x14ac:dyDescent="0.3">
      <c r="A68" s="900" t="s">
        <v>1001</v>
      </c>
      <c r="B68" s="37">
        <v>1620</v>
      </c>
      <c r="C68" s="866">
        <f>'Звіт   9'!E75</f>
        <v>34.9</v>
      </c>
      <c r="D68" s="866">
        <f>'Звіт   9'!F75</f>
        <v>0</v>
      </c>
      <c r="E68" s="866">
        <f>'Звіт   9'!G75</f>
        <v>0</v>
      </c>
      <c r="F68" s="866">
        <f>'Звіт   9'!H75</f>
        <v>34.9</v>
      </c>
      <c r="G68" s="866">
        <f>'Звіт   9'!I75</f>
        <v>1021.4</v>
      </c>
      <c r="H68" s="866">
        <f>'Звіт   9'!J75</f>
        <v>0</v>
      </c>
      <c r="I68" s="866">
        <f>'Звіт   9'!K75</f>
        <v>1021.4</v>
      </c>
      <c r="J68" s="81"/>
      <c r="K68" s="81"/>
      <c r="L68" s="81"/>
      <c r="M68" s="81"/>
      <c r="N68" s="81"/>
      <c r="O68" s="81"/>
      <c r="P68" s="81"/>
      <c r="Q68" s="81"/>
      <c r="R68" s="81"/>
      <c r="S68" s="81"/>
      <c r="T68" s="81"/>
      <c r="U68" s="81"/>
    </row>
    <row r="69" spans="1:21" s="9" customFormat="1" ht="22.35" customHeight="1" x14ac:dyDescent="0.3">
      <c r="A69" s="900" t="s">
        <v>1002</v>
      </c>
      <c r="B69" s="37">
        <v>1621</v>
      </c>
      <c r="C69" s="866">
        <f>'Звіт   9'!E76</f>
        <v>0</v>
      </c>
      <c r="D69" s="866">
        <f>'Звіт   9'!F76</f>
        <v>0</v>
      </c>
      <c r="E69" s="866">
        <f>'Звіт   9'!G76</f>
        <v>0</v>
      </c>
      <c r="F69" s="866">
        <f>'Звіт   9'!H76</f>
        <v>0</v>
      </c>
      <c r="G69" s="866">
        <f>'Звіт   9'!I76</f>
        <v>0</v>
      </c>
      <c r="H69" s="866">
        <f>'Звіт   9'!J76</f>
        <v>0</v>
      </c>
      <c r="I69" s="866">
        <f>'Звіт   9'!K76</f>
        <v>0</v>
      </c>
      <c r="J69" s="81"/>
      <c r="K69" s="81"/>
      <c r="L69" s="81"/>
      <c r="M69" s="81"/>
      <c r="N69" s="81"/>
      <c r="O69" s="81"/>
      <c r="P69" s="81"/>
      <c r="Q69" s="81"/>
      <c r="R69" s="81"/>
      <c r="S69" s="81"/>
      <c r="T69" s="81"/>
      <c r="U69" s="81"/>
    </row>
    <row r="70" spans="1:21" s="9" customFormat="1" ht="22.35" customHeight="1" x14ac:dyDescent="0.3">
      <c r="A70" s="900" t="s">
        <v>1003</v>
      </c>
      <c r="B70" s="37">
        <v>1625</v>
      </c>
      <c r="C70" s="866">
        <f>'Звіт   9'!E77</f>
        <v>0</v>
      </c>
      <c r="D70" s="866">
        <f>'Звіт   9'!F77</f>
        <v>0</v>
      </c>
      <c r="E70" s="866">
        <f>'Звіт   9'!G77</f>
        <v>0</v>
      </c>
      <c r="F70" s="866">
        <f>'Звіт   9'!H77</f>
        <v>0</v>
      </c>
      <c r="G70" s="866">
        <f>'Звіт   9'!I77</f>
        <v>1120.3</v>
      </c>
      <c r="H70" s="866">
        <f>'Звіт   9'!J77</f>
        <v>0</v>
      </c>
      <c r="I70" s="866">
        <f>'Звіт   9'!K77</f>
        <v>1120.3</v>
      </c>
      <c r="J70" s="81"/>
      <c r="K70" s="81"/>
      <c r="L70" s="81"/>
      <c r="M70" s="81"/>
      <c r="N70" s="81"/>
      <c r="O70" s="81"/>
      <c r="P70" s="81"/>
      <c r="Q70" s="81"/>
      <c r="R70" s="81"/>
      <c r="S70" s="81"/>
      <c r="T70" s="81"/>
      <c r="U70" s="81"/>
    </row>
    <row r="71" spans="1:21" s="9" customFormat="1" ht="22.35" customHeight="1" x14ac:dyDescent="0.3">
      <c r="A71" s="900" t="s">
        <v>1004</v>
      </c>
      <c r="B71" s="129">
        <v>1630</v>
      </c>
      <c r="C71" s="866">
        <f>'Звіт   9'!E78</f>
        <v>178.9</v>
      </c>
      <c r="D71" s="866">
        <f>'Звіт   9'!F78</f>
        <v>0</v>
      </c>
      <c r="E71" s="866">
        <f>'Звіт   9'!G78</f>
        <v>0</v>
      </c>
      <c r="F71" s="866">
        <f>'Звіт   9'!H78</f>
        <v>178.9</v>
      </c>
      <c r="G71" s="866">
        <f>'Звіт   9'!I78</f>
        <v>4092.3</v>
      </c>
      <c r="H71" s="866">
        <f>'Звіт   9'!J78</f>
        <v>0</v>
      </c>
      <c r="I71" s="866">
        <f>'Звіт   9'!K78</f>
        <v>4092.3</v>
      </c>
      <c r="J71" s="81"/>
      <c r="K71" s="81"/>
      <c r="L71" s="81"/>
      <c r="M71" s="81"/>
      <c r="N71" s="81"/>
      <c r="O71" s="81"/>
      <c r="P71" s="81"/>
      <c r="Q71" s="81"/>
      <c r="R71" s="81"/>
      <c r="S71" s="81"/>
      <c r="T71" s="81"/>
      <c r="U71" s="81"/>
    </row>
    <row r="72" spans="1:21" s="9" customFormat="1" ht="22.35" customHeight="1" x14ac:dyDescent="0.3">
      <c r="A72" s="900" t="s">
        <v>1005</v>
      </c>
      <c r="B72" s="129" t="s">
        <v>943</v>
      </c>
      <c r="C72" s="866">
        <f>'Звіт   9'!E79</f>
        <v>0</v>
      </c>
      <c r="D72" s="866">
        <f>'Звіт   9'!F79</f>
        <v>0</v>
      </c>
      <c r="E72" s="866">
        <f>'Звіт   9'!G79</f>
        <v>0</v>
      </c>
      <c r="F72" s="866">
        <f>'Звіт   9'!H79</f>
        <v>0</v>
      </c>
      <c r="G72" s="866">
        <f>'Звіт   9'!I79</f>
        <v>0</v>
      </c>
      <c r="H72" s="866">
        <f>'Звіт   9'!J79</f>
        <v>0</v>
      </c>
      <c r="I72" s="866">
        <f>'Звіт   9'!K79</f>
        <v>0</v>
      </c>
      <c r="J72" s="81"/>
      <c r="K72" s="81"/>
      <c r="L72" s="81"/>
      <c r="M72" s="81"/>
      <c r="N72" s="81"/>
      <c r="O72" s="81"/>
      <c r="P72" s="81"/>
      <c r="Q72" s="81"/>
      <c r="R72" s="81"/>
      <c r="S72" s="81"/>
      <c r="T72" s="81"/>
      <c r="U72" s="81"/>
    </row>
    <row r="73" spans="1:21" s="9" customFormat="1" ht="22.35" customHeight="1" x14ac:dyDescent="0.3">
      <c r="A73" s="900" t="s">
        <v>1006</v>
      </c>
      <c r="B73" s="129" t="s">
        <v>944</v>
      </c>
      <c r="C73" s="866">
        <f>'Звіт   9'!E80</f>
        <v>0</v>
      </c>
      <c r="D73" s="866">
        <f>'Звіт   9'!F80</f>
        <v>0</v>
      </c>
      <c r="E73" s="866">
        <f>'Звіт   9'!G80</f>
        <v>0</v>
      </c>
      <c r="F73" s="866">
        <f>'Звіт   9'!H80</f>
        <v>0</v>
      </c>
      <c r="G73" s="866">
        <f>'Звіт   9'!I80</f>
        <v>0</v>
      </c>
      <c r="H73" s="866">
        <f>'Звіт   9'!J80</f>
        <v>0</v>
      </c>
      <c r="I73" s="866">
        <f>'Звіт   9'!K80</f>
        <v>0</v>
      </c>
      <c r="J73" s="81"/>
      <c r="K73" s="81"/>
      <c r="L73" s="81"/>
      <c r="M73" s="81"/>
      <c r="N73" s="81"/>
      <c r="O73" s="81"/>
      <c r="P73" s="81"/>
      <c r="Q73" s="81"/>
      <c r="R73" s="81"/>
      <c r="S73" s="81"/>
      <c r="T73" s="81"/>
      <c r="U73" s="81"/>
    </row>
    <row r="74" spans="1:21" s="9" customFormat="1" ht="22.35" customHeight="1" x14ac:dyDescent="0.3">
      <c r="A74" s="900" t="s">
        <v>1007</v>
      </c>
      <c r="B74" s="129" t="s">
        <v>945</v>
      </c>
      <c r="C74" s="866">
        <f>'Звіт   9'!E81</f>
        <v>0</v>
      </c>
      <c r="D74" s="866">
        <f>'Звіт   9'!F81</f>
        <v>0</v>
      </c>
      <c r="E74" s="866">
        <f>'Звіт   9'!G81</f>
        <v>0</v>
      </c>
      <c r="F74" s="866">
        <f>'Звіт   9'!H81</f>
        <v>0</v>
      </c>
      <c r="G74" s="866">
        <f>'Звіт   9'!I81</f>
        <v>0</v>
      </c>
      <c r="H74" s="866">
        <f>'Звіт   9'!J81</f>
        <v>0</v>
      </c>
      <c r="I74" s="866">
        <f>'Звіт   9'!K81</f>
        <v>0</v>
      </c>
      <c r="J74" s="81"/>
      <c r="K74" s="81"/>
      <c r="L74" s="81"/>
      <c r="M74" s="81"/>
      <c r="N74" s="81"/>
      <c r="O74" s="81"/>
      <c r="P74" s="81"/>
      <c r="Q74" s="81"/>
      <c r="R74" s="81"/>
      <c r="S74" s="81"/>
      <c r="T74" s="81"/>
      <c r="U74" s="81"/>
    </row>
    <row r="75" spans="1:21" s="9" customFormat="1" ht="19.149999999999999" customHeight="1" x14ac:dyDescent="0.3">
      <c r="A75" s="900" t="s">
        <v>1008</v>
      </c>
      <c r="B75" s="129">
        <v>1635</v>
      </c>
      <c r="C75" s="866">
        <f>'Звіт   9'!E82</f>
        <v>0</v>
      </c>
      <c r="D75" s="866">
        <f>'Звіт   9'!F82</f>
        <v>0</v>
      </c>
      <c r="E75" s="866">
        <f>'Звіт   9'!G82</f>
        <v>0</v>
      </c>
      <c r="F75" s="866">
        <f>'Звіт   9'!H82</f>
        <v>0</v>
      </c>
      <c r="G75" s="866">
        <f>'Звіт   9'!I82</f>
        <v>52.9</v>
      </c>
      <c r="H75" s="866">
        <f>'Звіт   9'!J82</f>
        <v>0</v>
      </c>
      <c r="I75" s="866">
        <f>'Звіт   9'!K82</f>
        <v>52.9</v>
      </c>
      <c r="J75" s="81"/>
      <c r="K75" s="81"/>
      <c r="L75" s="81"/>
      <c r="M75" s="81"/>
      <c r="N75" s="81"/>
      <c r="O75" s="81"/>
      <c r="P75" s="81"/>
      <c r="Q75" s="81"/>
      <c r="R75" s="81"/>
      <c r="S75" s="81"/>
      <c r="T75" s="81"/>
      <c r="U75" s="81"/>
    </row>
    <row r="76" spans="1:21" s="9" customFormat="1" ht="22.35" customHeight="1" x14ac:dyDescent="0.3">
      <c r="A76" s="900" t="s">
        <v>1009</v>
      </c>
      <c r="B76" s="129" t="s">
        <v>946</v>
      </c>
      <c r="C76" s="866">
        <f>'Звіт   9'!E83</f>
        <v>0</v>
      </c>
      <c r="D76" s="866">
        <f>'Звіт   9'!F83</f>
        <v>0</v>
      </c>
      <c r="E76" s="866">
        <f>'Звіт   9'!G83</f>
        <v>0</v>
      </c>
      <c r="F76" s="866">
        <f>'Звіт   9'!H83</f>
        <v>0</v>
      </c>
      <c r="G76" s="866">
        <f>'Звіт   9'!I83</f>
        <v>0</v>
      </c>
      <c r="H76" s="866">
        <f>'Звіт   9'!J83</f>
        <v>0</v>
      </c>
      <c r="I76" s="866">
        <f>'Звіт   9'!K83</f>
        <v>0</v>
      </c>
      <c r="J76" s="81"/>
      <c r="K76" s="81"/>
      <c r="L76" s="81"/>
      <c r="M76" s="81"/>
      <c r="N76" s="81"/>
      <c r="O76" s="81"/>
      <c r="P76" s="81"/>
      <c r="Q76" s="81"/>
      <c r="R76" s="81"/>
      <c r="S76" s="81"/>
      <c r="T76" s="81"/>
      <c r="U76" s="81"/>
    </row>
    <row r="77" spans="1:21" s="9" customFormat="1" ht="22.35" customHeight="1" x14ac:dyDescent="0.3">
      <c r="A77" s="900" t="s">
        <v>1863</v>
      </c>
      <c r="B77" s="129" t="s">
        <v>1864</v>
      </c>
      <c r="C77" s="866">
        <f>'Звіт   9'!E84</f>
        <v>0</v>
      </c>
      <c r="D77" s="866">
        <f>'Звіт   9'!F84</f>
        <v>0</v>
      </c>
      <c r="E77" s="866">
        <f>'Звіт   9'!G84</f>
        <v>0</v>
      </c>
      <c r="F77" s="866">
        <f>'Звіт   9'!H84</f>
        <v>0</v>
      </c>
      <c r="G77" s="866">
        <f>'Звіт   9'!I84</f>
        <v>0</v>
      </c>
      <c r="H77" s="866">
        <f>'Звіт   9'!J84</f>
        <v>0</v>
      </c>
      <c r="I77" s="866">
        <f>'Звіт   9'!K84</f>
        <v>0</v>
      </c>
      <c r="J77" s="81"/>
      <c r="K77" s="81"/>
      <c r="L77" s="81"/>
      <c r="M77" s="81"/>
      <c r="N77" s="81"/>
      <c r="O77" s="81"/>
      <c r="P77" s="81"/>
      <c r="Q77" s="81"/>
      <c r="R77" s="81"/>
      <c r="S77" s="81"/>
      <c r="T77" s="81"/>
      <c r="U77" s="81"/>
    </row>
    <row r="78" spans="1:21" s="9" customFormat="1" ht="22.35" customHeight="1" x14ac:dyDescent="0.3">
      <c r="A78" s="900" t="s">
        <v>1010</v>
      </c>
      <c r="B78" s="129">
        <v>1660</v>
      </c>
      <c r="C78" s="866">
        <f>'Звіт   9'!E85</f>
        <v>0</v>
      </c>
      <c r="D78" s="866">
        <f>'Звіт   9'!F85</f>
        <v>0</v>
      </c>
      <c r="E78" s="866">
        <f>'Звіт   9'!G85</f>
        <v>0</v>
      </c>
      <c r="F78" s="866">
        <f>'Звіт   9'!H85</f>
        <v>0</v>
      </c>
      <c r="G78" s="866">
        <f>'Звіт   9'!I85</f>
        <v>0</v>
      </c>
      <c r="H78" s="866">
        <f>'Звіт   9'!J85</f>
        <v>0</v>
      </c>
      <c r="I78" s="866">
        <f>'Звіт   9'!K85</f>
        <v>0</v>
      </c>
      <c r="J78" s="81"/>
      <c r="K78" s="81"/>
      <c r="L78" s="81"/>
      <c r="M78" s="81"/>
      <c r="N78" s="81"/>
      <c r="O78" s="81"/>
      <c r="P78" s="81"/>
      <c r="Q78" s="81"/>
      <c r="R78" s="81"/>
      <c r="S78" s="81"/>
      <c r="T78" s="81"/>
      <c r="U78" s="81"/>
    </row>
    <row r="79" spans="1:21" s="9" customFormat="1" ht="29.65" customHeight="1" x14ac:dyDescent="0.3">
      <c r="A79" s="900" t="s">
        <v>1011</v>
      </c>
      <c r="B79" s="129">
        <v>1665</v>
      </c>
      <c r="C79" s="866">
        <f>'Звіт   9'!E86</f>
        <v>244.9</v>
      </c>
      <c r="D79" s="866">
        <f>'Звіт   9'!F86</f>
        <v>0</v>
      </c>
      <c r="E79" s="866">
        <f>'Звіт   9'!G86</f>
        <v>0</v>
      </c>
      <c r="F79" s="866">
        <f>'Звіт   9'!H86</f>
        <v>244.9</v>
      </c>
      <c r="G79" s="866">
        <f>'Звіт   9'!I86</f>
        <v>194.8</v>
      </c>
      <c r="H79" s="866">
        <f>'Звіт   9'!J86</f>
        <v>0</v>
      </c>
      <c r="I79" s="866">
        <f>'Звіт   9'!K86</f>
        <v>194.8</v>
      </c>
      <c r="J79" s="81"/>
      <c r="K79" s="81"/>
      <c r="L79" s="81"/>
      <c r="M79" s="81"/>
      <c r="N79" s="81"/>
      <c r="O79" s="81"/>
      <c r="P79" s="81"/>
      <c r="Q79" s="81"/>
      <c r="R79" s="81"/>
      <c r="S79" s="81"/>
      <c r="T79" s="81"/>
      <c r="U79" s="81"/>
    </row>
    <row r="80" spans="1:21" s="9" customFormat="1" ht="18" customHeight="1" x14ac:dyDescent="0.3">
      <c r="A80" s="900" t="s">
        <v>1012</v>
      </c>
      <c r="B80" s="129" t="s">
        <v>947</v>
      </c>
      <c r="C80" s="866">
        <f>'Звіт   9'!E87</f>
        <v>244.9</v>
      </c>
      <c r="D80" s="866">
        <f>'Звіт   9'!F87</f>
        <v>0</v>
      </c>
      <c r="E80" s="866">
        <f>'Звіт   9'!G87</f>
        <v>0</v>
      </c>
      <c r="F80" s="866">
        <f>'Звіт   9'!H87</f>
        <v>244.9</v>
      </c>
      <c r="G80" s="866">
        <f>'Звіт   9'!I87</f>
        <v>194.8</v>
      </c>
      <c r="H80" s="866">
        <f>'Звіт   9'!J87</f>
        <v>0</v>
      </c>
      <c r="I80" s="866">
        <f>'Звіт   9'!K87</f>
        <v>194.8</v>
      </c>
      <c r="J80" s="81"/>
      <c r="K80" s="81"/>
      <c r="L80" s="81"/>
      <c r="M80" s="81"/>
      <c r="N80" s="81"/>
      <c r="O80" s="81"/>
      <c r="P80" s="81"/>
      <c r="Q80" s="81"/>
      <c r="R80" s="81"/>
      <c r="S80" s="81"/>
      <c r="T80" s="81"/>
      <c r="U80" s="81"/>
    </row>
    <row r="81" spans="1:21" s="9" customFormat="1" x14ac:dyDescent="0.3">
      <c r="A81" s="900" t="s">
        <v>1013</v>
      </c>
      <c r="B81" s="129" t="s">
        <v>948</v>
      </c>
      <c r="C81" s="880">
        <f>'Звіт   9'!E88</f>
        <v>0</v>
      </c>
      <c r="D81" s="880">
        <f>'Звіт   9'!F88</f>
        <v>0</v>
      </c>
      <c r="E81" s="880">
        <f>'Звіт   9'!G88</f>
        <v>0</v>
      </c>
      <c r="F81" s="880">
        <f>'Звіт   9'!H88</f>
        <v>0</v>
      </c>
      <c r="G81" s="880">
        <f>'Звіт   9'!I88</f>
        <v>0</v>
      </c>
      <c r="H81" s="880">
        <f>'Звіт   9'!J88</f>
        <v>0</v>
      </c>
      <c r="I81" s="880">
        <f>'Звіт   9'!K88</f>
        <v>0</v>
      </c>
      <c r="J81" s="81"/>
      <c r="K81" s="81"/>
      <c r="L81" s="81"/>
      <c r="M81" s="81"/>
      <c r="N81" s="81"/>
      <c r="O81" s="81"/>
      <c r="P81" s="81"/>
      <c r="Q81" s="81"/>
      <c r="R81" s="81"/>
      <c r="S81" s="81"/>
      <c r="T81" s="81"/>
      <c r="U81" s="81"/>
    </row>
    <row r="82" spans="1:21" s="9" customFormat="1" ht="29.25" customHeight="1" x14ac:dyDescent="0.3">
      <c r="A82" s="900" t="s">
        <v>1014</v>
      </c>
      <c r="B82" s="129">
        <v>1690</v>
      </c>
      <c r="C82" s="417">
        <f>'Звіт   9'!E89</f>
        <v>0</v>
      </c>
      <c r="D82" s="417">
        <f>'Звіт   9'!F89</f>
        <v>0</v>
      </c>
      <c r="E82" s="417">
        <f>'Звіт   9'!G89</f>
        <v>0</v>
      </c>
      <c r="F82" s="417">
        <f>'Звіт   9'!H89</f>
        <v>0</v>
      </c>
      <c r="G82" s="417">
        <f>'Звіт   9'!I89</f>
        <v>0</v>
      </c>
      <c r="H82" s="417">
        <f>'Звіт   9'!J89</f>
        <v>0</v>
      </c>
      <c r="I82" s="417">
        <f>'Звіт   9'!K89</f>
        <v>0</v>
      </c>
      <c r="J82" s="81"/>
      <c r="K82" s="81"/>
      <c r="L82" s="81"/>
      <c r="M82" s="81"/>
      <c r="N82" s="81"/>
      <c r="O82" s="81"/>
      <c r="P82" s="81"/>
      <c r="Q82" s="81"/>
      <c r="R82" s="81"/>
      <c r="S82" s="81"/>
      <c r="T82" s="81"/>
      <c r="U82" s="81"/>
    </row>
    <row r="83" spans="1:21" s="9" customFormat="1" ht="22.35" customHeight="1" thickBot="1" x14ac:dyDescent="0.35">
      <c r="A83" s="900" t="s">
        <v>1015</v>
      </c>
      <c r="B83" s="224">
        <v>1695</v>
      </c>
      <c r="C83" s="883">
        <f>'Звіт   9'!E90</f>
        <v>1496.8000000000002</v>
      </c>
      <c r="D83" s="883">
        <f>'Звіт   9'!F90</f>
        <v>0</v>
      </c>
      <c r="E83" s="883">
        <f>'Звіт   9'!G90</f>
        <v>0</v>
      </c>
      <c r="F83" s="883">
        <f>'Звіт   9'!H90</f>
        <v>1496.8</v>
      </c>
      <c r="G83" s="883">
        <f>'Звіт   9'!I90</f>
        <v>6996.8</v>
      </c>
      <c r="H83" s="883">
        <f>'Звіт   9'!J90</f>
        <v>0</v>
      </c>
      <c r="I83" s="883">
        <f>'Звіт   9'!K90</f>
        <v>6996.8</v>
      </c>
      <c r="J83" s="81"/>
      <c r="K83" s="81"/>
      <c r="L83" s="81"/>
      <c r="M83" s="81"/>
      <c r="N83" s="81"/>
      <c r="O83" s="81"/>
      <c r="P83" s="81"/>
      <c r="Q83" s="81"/>
      <c r="R83" s="81"/>
      <c r="S83" s="81"/>
      <c r="T83" s="81"/>
      <c r="U83" s="81"/>
    </row>
    <row r="84" spans="1:21" s="9" customFormat="1" ht="27.75" customHeight="1" thickBot="1" x14ac:dyDescent="0.35">
      <c r="A84" s="900" t="s">
        <v>1016</v>
      </c>
      <c r="B84" s="225">
        <v>1700</v>
      </c>
      <c r="C84" s="877">
        <f>'Звіт   9'!E91</f>
        <v>0</v>
      </c>
      <c r="D84" s="877">
        <f>'Звіт   9'!F91</f>
        <v>0</v>
      </c>
      <c r="E84" s="877">
        <f>'Звіт   9'!G91</f>
        <v>0</v>
      </c>
      <c r="F84" s="877">
        <f>'Звіт   9'!H91</f>
        <v>0</v>
      </c>
      <c r="G84" s="877">
        <f>'Звіт   9'!I91</f>
        <v>0</v>
      </c>
      <c r="H84" s="877">
        <f>'Звіт   9'!J91</f>
        <v>0</v>
      </c>
      <c r="I84" s="877">
        <f>'Звіт   9'!K91</f>
        <v>0</v>
      </c>
      <c r="J84" s="81"/>
      <c r="K84" s="81"/>
      <c r="L84" s="81"/>
      <c r="M84" s="81"/>
      <c r="N84" s="81"/>
      <c r="O84" s="81"/>
      <c r="P84" s="81"/>
      <c r="Q84" s="81"/>
      <c r="R84" s="81"/>
      <c r="S84" s="81"/>
      <c r="T84" s="81"/>
      <c r="U84" s="81"/>
    </row>
    <row r="85" spans="1:21" s="9" customFormat="1" ht="22.35" customHeight="1" thickBot="1" x14ac:dyDescent="0.35">
      <c r="A85" s="900" t="s">
        <v>1017</v>
      </c>
      <c r="B85" s="226">
        <v>1900</v>
      </c>
      <c r="C85" s="885">
        <f>'Звіт   9'!E92</f>
        <v>71621.5</v>
      </c>
      <c r="D85" s="885">
        <f>'Звіт   9'!F92</f>
        <v>0</v>
      </c>
      <c r="E85" s="885">
        <f>'Звіт   9'!G92</f>
        <v>9919.4</v>
      </c>
      <c r="F85" s="885">
        <f>'Звіт   9'!H92</f>
        <v>81540.899999999994</v>
      </c>
      <c r="G85" s="885">
        <f>'Звіт   9'!I92</f>
        <v>81089</v>
      </c>
      <c r="H85" s="885">
        <f>'Звіт   9'!J92</f>
        <v>0</v>
      </c>
      <c r="I85" s="885">
        <f>'Звіт   9'!K92</f>
        <v>81089</v>
      </c>
      <c r="J85" s="81"/>
      <c r="K85" s="81"/>
      <c r="L85" s="81"/>
      <c r="M85" s="81"/>
      <c r="N85" s="81"/>
      <c r="O85" s="81"/>
      <c r="P85" s="81"/>
      <c r="Q85" s="81"/>
      <c r="R85" s="81"/>
      <c r="S85" s="81"/>
      <c r="T85" s="81"/>
      <c r="U85" s="81"/>
    </row>
    <row r="86" spans="1:21" s="87" customFormat="1" x14ac:dyDescent="0.25">
      <c r="A86" s="84"/>
      <c r="B86" s="88"/>
      <c r="C86" s="84"/>
      <c r="D86" s="144"/>
      <c r="E86" s="144"/>
      <c r="F86" s="84"/>
      <c r="G86" s="84"/>
      <c r="H86" s="85"/>
      <c r="I86" s="85"/>
    </row>
    <row r="87" spans="1:21" s="87" customFormat="1" x14ac:dyDescent="0.25">
      <c r="A87" s="84"/>
      <c r="B87" s="88"/>
      <c r="C87" s="84"/>
      <c r="D87" s="144"/>
      <c r="E87" s="144"/>
      <c r="F87" s="84"/>
      <c r="G87" s="84"/>
      <c r="H87" s="85"/>
      <c r="I87" s="85"/>
    </row>
    <row r="88" spans="1:21" s="87" customFormat="1" x14ac:dyDescent="0.25">
      <c r="A88" s="84"/>
      <c r="B88" s="88"/>
      <c r="C88" s="84"/>
      <c r="D88" s="144"/>
      <c r="E88" s="144"/>
      <c r="F88" s="84"/>
      <c r="G88" s="84"/>
      <c r="H88" s="85"/>
      <c r="I88" s="85"/>
    </row>
    <row r="89" spans="1:21" s="87" customFormat="1" x14ac:dyDescent="0.25">
      <c r="A89" s="84"/>
      <c r="B89" s="88"/>
      <c r="C89" s="84"/>
      <c r="D89" s="144"/>
      <c r="E89" s="144"/>
      <c r="F89" s="84"/>
      <c r="G89" s="84"/>
      <c r="H89" s="85"/>
      <c r="I89" s="85"/>
    </row>
    <row r="90" spans="1:21" s="87" customFormat="1" x14ac:dyDescent="0.25">
      <c r="A90" s="84"/>
      <c r="B90" s="88"/>
      <c r="C90" s="84"/>
      <c r="D90" s="144"/>
      <c r="E90" s="144"/>
      <c r="F90" s="84"/>
      <c r="G90" s="84"/>
      <c r="H90" s="85"/>
      <c r="I90" s="85"/>
    </row>
    <row r="91" spans="1:21" s="87" customFormat="1" x14ac:dyDescent="0.25">
      <c r="A91" s="84"/>
      <c r="B91" s="88"/>
      <c r="C91" s="84"/>
      <c r="D91" s="144"/>
      <c r="E91" s="144"/>
      <c r="F91" s="84"/>
      <c r="G91" s="84"/>
      <c r="H91" s="85"/>
      <c r="I91" s="85"/>
    </row>
    <row r="92" spans="1:21" s="87" customFormat="1" x14ac:dyDescent="0.25">
      <c r="A92" s="84"/>
      <c r="B92" s="88"/>
      <c r="C92" s="84"/>
      <c r="D92" s="144"/>
      <c r="E92" s="144"/>
      <c r="F92" s="84"/>
      <c r="G92" s="84"/>
      <c r="H92" s="85"/>
      <c r="I92" s="85"/>
    </row>
    <row r="93" spans="1:21" s="87" customFormat="1" x14ac:dyDescent="0.25">
      <c r="A93" s="84"/>
      <c r="B93" s="88"/>
      <c r="C93" s="84"/>
      <c r="D93" s="144"/>
      <c r="E93" s="144"/>
      <c r="F93" s="84"/>
      <c r="G93" s="84"/>
      <c r="H93" s="85"/>
      <c r="I93" s="85"/>
    </row>
    <row r="94" spans="1:21" s="87" customFormat="1" x14ac:dyDescent="0.25">
      <c r="A94" s="84"/>
      <c r="B94" s="88"/>
      <c r="C94" s="84"/>
      <c r="D94" s="144"/>
      <c r="E94" s="144"/>
      <c r="F94" s="84"/>
      <c r="G94" s="84"/>
      <c r="H94" s="85"/>
      <c r="I94" s="85"/>
    </row>
    <row r="95" spans="1:21" s="84" customFormat="1" x14ac:dyDescent="0.25">
      <c r="B95" s="88"/>
      <c r="C95" s="89"/>
      <c r="D95" s="145"/>
      <c r="E95" s="145"/>
      <c r="F95" s="89"/>
      <c r="G95" s="89"/>
      <c r="H95" s="85"/>
      <c r="I95" s="85"/>
    </row>
    <row r="96" spans="1:21" s="84" customFormat="1" x14ac:dyDescent="0.25">
      <c r="B96" s="88"/>
      <c r="C96" s="89"/>
      <c r="D96" s="145"/>
      <c r="E96" s="145"/>
      <c r="F96" s="89"/>
      <c r="G96" s="89"/>
      <c r="H96" s="85"/>
      <c r="I96" s="85"/>
    </row>
    <row r="97" spans="2:9" s="84" customFormat="1" x14ac:dyDescent="0.25">
      <c r="B97" s="88"/>
      <c r="C97" s="89"/>
      <c r="D97" s="145"/>
      <c r="E97" s="145"/>
      <c r="F97" s="89"/>
      <c r="G97" s="89"/>
      <c r="H97" s="85"/>
      <c r="I97" s="85"/>
    </row>
    <row r="98" spans="2:9" s="84" customFormat="1" x14ac:dyDescent="0.25">
      <c r="B98" s="88"/>
      <c r="C98" s="89"/>
      <c r="D98" s="145"/>
      <c r="E98" s="145"/>
      <c r="F98" s="89"/>
      <c r="G98" s="89"/>
      <c r="H98" s="85"/>
      <c r="I98" s="85"/>
    </row>
    <row r="99" spans="2:9" s="84" customFormat="1" x14ac:dyDescent="0.25">
      <c r="B99" s="88"/>
      <c r="C99" s="89"/>
      <c r="D99" s="145"/>
      <c r="E99" s="145"/>
      <c r="F99" s="89"/>
      <c r="G99" s="89"/>
      <c r="H99" s="85"/>
      <c r="I99" s="85"/>
    </row>
    <row r="100" spans="2:9" s="84" customFormat="1" x14ac:dyDescent="0.25">
      <c r="B100" s="88"/>
      <c r="C100" s="89"/>
      <c r="D100" s="145"/>
      <c r="E100" s="145"/>
      <c r="F100" s="89"/>
      <c r="G100" s="89"/>
      <c r="H100" s="85"/>
      <c r="I100" s="85"/>
    </row>
    <row r="101" spans="2:9" s="84" customFormat="1" x14ac:dyDescent="0.25">
      <c r="B101" s="88"/>
      <c r="C101" s="89"/>
      <c r="D101" s="145"/>
      <c r="E101" s="145"/>
      <c r="F101" s="89"/>
      <c r="G101" s="89"/>
      <c r="H101" s="85"/>
      <c r="I101" s="85"/>
    </row>
    <row r="102" spans="2:9" s="84" customFormat="1" x14ac:dyDescent="0.25">
      <c r="B102" s="88"/>
      <c r="C102" s="89"/>
      <c r="D102" s="145"/>
      <c r="E102" s="145"/>
      <c r="F102" s="89"/>
      <c r="G102" s="89"/>
      <c r="H102" s="85"/>
      <c r="I102" s="85"/>
    </row>
    <row r="103" spans="2:9" s="84" customFormat="1" x14ac:dyDescent="0.25">
      <c r="B103" s="88"/>
      <c r="C103" s="89"/>
      <c r="D103" s="145"/>
      <c r="E103" s="145"/>
      <c r="F103" s="89"/>
      <c r="G103" s="89"/>
      <c r="H103" s="85"/>
      <c r="I103" s="85"/>
    </row>
    <row r="104" spans="2:9" s="84" customFormat="1" x14ac:dyDescent="0.25">
      <c r="B104" s="88"/>
      <c r="C104" s="89"/>
      <c r="D104" s="145"/>
      <c r="E104" s="145"/>
      <c r="F104" s="89"/>
      <c r="G104" s="89"/>
      <c r="H104" s="85"/>
      <c r="I104" s="85"/>
    </row>
    <row r="105" spans="2:9" s="84" customFormat="1" x14ac:dyDescent="0.25">
      <c r="B105" s="88"/>
      <c r="C105" s="89"/>
      <c r="D105" s="145"/>
      <c r="E105" s="145"/>
      <c r="F105" s="89"/>
      <c r="G105" s="89"/>
      <c r="H105" s="85"/>
      <c r="I105" s="85"/>
    </row>
    <row r="106" spans="2:9" s="84" customFormat="1" x14ac:dyDescent="0.25">
      <c r="B106" s="88"/>
      <c r="C106" s="89"/>
      <c r="D106" s="145"/>
      <c r="E106" s="145"/>
      <c r="F106" s="89"/>
      <c r="G106" s="89"/>
      <c r="H106" s="85"/>
      <c r="I106" s="85"/>
    </row>
    <row r="107" spans="2:9" s="84" customFormat="1" x14ac:dyDescent="0.25">
      <c r="B107" s="88"/>
      <c r="C107" s="89"/>
      <c r="D107" s="145"/>
      <c r="E107" s="145"/>
      <c r="F107" s="89"/>
      <c r="G107" s="89"/>
      <c r="H107" s="85"/>
      <c r="I107" s="85"/>
    </row>
    <row r="108" spans="2:9" s="84" customFormat="1" x14ac:dyDescent="0.25">
      <c r="B108" s="88"/>
      <c r="C108" s="89"/>
      <c r="D108" s="145"/>
      <c r="E108" s="145"/>
      <c r="F108" s="89"/>
      <c r="G108" s="89"/>
      <c r="H108" s="85"/>
      <c r="I108" s="85"/>
    </row>
    <row r="109" spans="2:9" s="84" customFormat="1" x14ac:dyDescent="0.25">
      <c r="B109" s="88"/>
      <c r="C109" s="89"/>
      <c r="D109" s="145"/>
      <c r="E109" s="145"/>
      <c r="F109" s="89"/>
      <c r="G109" s="89"/>
      <c r="H109" s="85"/>
      <c r="I109" s="85"/>
    </row>
    <row r="110" spans="2:9" s="84" customFormat="1" x14ac:dyDescent="0.25">
      <c r="B110" s="88"/>
      <c r="C110" s="89"/>
      <c r="D110" s="145"/>
      <c r="E110" s="145"/>
      <c r="F110" s="89"/>
      <c r="G110" s="89"/>
      <c r="H110" s="85"/>
      <c r="I110" s="85"/>
    </row>
    <row r="111" spans="2:9" s="84" customFormat="1" x14ac:dyDescent="0.25">
      <c r="B111" s="88"/>
      <c r="C111" s="89"/>
      <c r="D111" s="145"/>
      <c r="E111" s="145"/>
      <c r="F111" s="89"/>
      <c r="G111" s="89"/>
      <c r="H111" s="85"/>
      <c r="I111" s="85"/>
    </row>
    <row r="112" spans="2:9" s="84" customFormat="1" x14ac:dyDescent="0.25">
      <c r="B112" s="88"/>
      <c r="C112" s="89"/>
      <c r="D112" s="145"/>
      <c r="E112" s="145"/>
      <c r="F112" s="89"/>
      <c r="G112" s="89"/>
      <c r="H112" s="85"/>
      <c r="I112" s="85"/>
    </row>
    <row r="113" spans="2:9" s="84" customFormat="1" x14ac:dyDescent="0.25">
      <c r="B113" s="88"/>
      <c r="C113" s="89"/>
      <c r="D113" s="145"/>
      <c r="E113" s="145"/>
      <c r="F113" s="89"/>
      <c r="G113" s="89"/>
      <c r="H113" s="85"/>
      <c r="I113" s="85"/>
    </row>
    <row r="114" spans="2:9" s="84" customFormat="1" x14ac:dyDescent="0.25">
      <c r="B114" s="88"/>
      <c r="C114" s="89"/>
      <c r="D114" s="145"/>
      <c r="E114" s="145"/>
      <c r="F114" s="89"/>
      <c r="G114" s="89"/>
      <c r="H114" s="85"/>
      <c r="I114" s="85"/>
    </row>
    <row r="115" spans="2:9" s="84" customFormat="1" x14ac:dyDescent="0.25">
      <c r="B115" s="88"/>
      <c r="C115" s="89"/>
      <c r="D115" s="145"/>
      <c r="E115" s="145"/>
      <c r="F115" s="89"/>
      <c r="G115" s="89"/>
      <c r="H115" s="85"/>
      <c r="I115" s="85"/>
    </row>
    <row r="116" spans="2:9" s="84" customFormat="1" x14ac:dyDescent="0.25">
      <c r="B116" s="88"/>
      <c r="C116" s="89"/>
      <c r="D116" s="145"/>
      <c r="E116" s="145"/>
      <c r="F116" s="89"/>
      <c r="G116" s="89"/>
      <c r="H116" s="85"/>
      <c r="I116" s="85"/>
    </row>
    <row r="117" spans="2:9" s="84" customFormat="1" x14ac:dyDescent="0.25">
      <c r="B117" s="88"/>
      <c r="C117" s="89"/>
      <c r="D117" s="145"/>
      <c r="E117" s="145"/>
      <c r="F117" s="89"/>
      <c r="G117" s="89"/>
      <c r="H117" s="85"/>
      <c r="I117" s="85"/>
    </row>
    <row r="118" spans="2:9" s="84" customFormat="1" x14ac:dyDescent="0.25">
      <c r="B118" s="88"/>
      <c r="C118" s="89"/>
      <c r="D118" s="145"/>
      <c r="E118" s="145"/>
      <c r="F118" s="89"/>
      <c r="G118" s="89"/>
      <c r="H118" s="85"/>
      <c r="I118" s="85"/>
    </row>
    <row r="119" spans="2:9" s="84" customFormat="1" x14ac:dyDescent="0.25">
      <c r="B119" s="88"/>
      <c r="C119" s="89"/>
      <c r="D119" s="145"/>
      <c r="E119" s="145"/>
      <c r="F119" s="89"/>
      <c r="G119" s="89"/>
      <c r="H119" s="85"/>
      <c r="I119" s="85"/>
    </row>
    <row r="120" spans="2:9" s="84" customFormat="1" x14ac:dyDescent="0.25">
      <c r="B120" s="88"/>
      <c r="C120" s="89"/>
      <c r="D120" s="145"/>
      <c r="E120" s="145"/>
      <c r="F120" s="89"/>
      <c r="G120" s="89"/>
      <c r="H120" s="85"/>
      <c r="I120" s="85"/>
    </row>
    <row r="121" spans="2:9" s="84" customFormat="1" x14ac:dyDescent="0.25">
      <c r="B121" s="88"/>
      <c r="C121" s="89"/>
      <c r="D121" s="145"/>
      <c r="E121" s="145"/>
      <c r="F121" s="89"/>
      <c r="G121" s="89"/>
      <c r="H121" s="85"/>
      <c r="I121" s="85"/>
    </row>
    <row r="122" spans="2:9" s="84" customFormat="1" x14ac:dyDescent="0.25">
      <c r="B122" s="88"/>
      <c r="C122" s="89"/>
      <c r="D122" s="145"/>
      <c r="E122" s="145"/>
      <c r="F122" s="89"/>
      <c r="G122" s="89"/>
      <c r="H122" s="85"/>
      <c r="I122" s="85"/>
    </row>
    <row r="123" spans="2:9" s="84" customFormat="1" x14ac:dyDescent="0.25">
      <c r="B123" s="88"/>
      <c r="C123" s="89"/>
      <c r="D123" s="145"/>
      <c r="E123" s="145"/>
      <c r="F123" s="89"/>
      <c r="G123" s="89"/>
      <c r="H123" s="85"/>
      <c r="I123" s="85"/>
    </row>
    <row r="124" spans="2:9" s="84" customFormat="1" x14ac:dyDescent="0.25">
      <c r="B124" s="88"/>
      <c r="C124" s="89"/>
      <c r="D124" s="145"/>
      <c r="E124" s="145"/>
      <c r="F124" s="89"/>
      <c r="G124" s="89"/>
      <c r="H124" s="85"/>
      <c r="I124" s="85"/>
    </row>
    <row r="125" spans="2:9" s="84" customFormat="1" x14ac:dyDescent="0.25">
      <c r="B125" s="88"/>
      <c r="C125" s="89"/>
      <c r="D125" s="145"/>
      <c r="E125" s="145"/>
      <c r="F125" s="89"/>
      <c r="G125" s="89"/>
      <c r="H125" s="85"/>
      <c r="I125" s="85"/>
    </row>
  </sheetData>
  <sheetProtection formatCells="0" formatColumns="0" formatRows="0"/>
  <mergeCells count="1">
    <mergeCell ref="J1:L1"/>
  </mergeCells>
  <conditionalFormatting sqref="C61:I61">
    <cfRule type="cellIs" dxfId="3" priority="5" operator="lessThan">
      <formula>0</formula>
    </cfRule>
  </conditionalFormatting>
  <conditionalFormatting sqref="C81:I81">
    <cfRule type="cellIs" dxfId="2" priority="2" operator="lessThan">
      <formula>0</formula>
    </cfRule>
  </conditionalFormatting>
  <conditionalFormatting sqref="C47:I47">
    <cfRule type="cellIs" dxfId="1" priority="1" operator="lessThan">
      <formula>0</formula>
    </cfRule>
  </conditionalFormatting>
  <printOptions horizontalCentered="1"/>
  <pageMargins left="0.19685039370078741" right="0.27559055118110237" top="0.59055118110236227" bottom="0.35433070866141736" header="0.39370078740157483" footer="0.31496062992125984"/>
  <pageSetup paperSize="9" scale="50" orientation="landscape" r:id="rId1"/>
  <headerFooter alignWithMargins="0">
    <oddFooter>&amp;RСтор.  &amp;P</oddFooter>
  </headerFooter>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6">
    <tabColor rgb="FF92D050"/>
  </sheetPr>
  <dimension ref="A1:J235"/>
  <sheetViews>
    <sheetView showGridLines="0" view="pageBreakPreview" topLeftCell="C1" zoomScale="60" zoomScaleNormal="50" zoomScalePageLayoutView="50" workbookViewId="0">
      <selection activeCell="W6" sqref="W6"/>
    </sheetView>
  </sheetViews>
  <sheetFormatPr defaultColWidth="8.85546875" defaultRowHeight="18.75" x14ac:dyDescent="0.25"/>
  <cols>
    <col min="1" max="1" width="12.85546875" style="64" customWidth="1"/>
    <col min="2" max="2" width="17.85546875" style="530" customWidth="1"/>
    <col min="3" max="3" width="94.28515625" style="530" customWidth="1"/>
    <col min="4" max="4" width="23.7109375" style="4" customWidth="1"/>
    <col min="5" max="5" width="21.5703125" style="4" customWidth="1"/>
    <col min="6" max="6" width="25.5703125" style="4" customWidth="1"/>
    <col min="7" max="8" width="22.42578125" style="4" customWidth="1"/>
    <col min="9" max="9" width="8.85546875" style="2"/>
    <col min="10" max="10" width="81.28515625" style="2" customWidth="1"/>
    <col min="11" max="197" width="8.85546875" style="2"/>
    <col min="198" max="198" width="78.5703125" style="2" customWidth="1"/>
    <col min="199" max="201" width="19.42578125" style="2" customWidth="1"/>
    <col min="202" max="16384" width="8.85546875" style="2"/>
  </cols>
  <sheetData>
    <row r="1" spans="1:8" ht="42" customHeight="1" thickBot="1" x14ac:dyDescent="0.3">
      <c r="B1" s="3004" t="s">
        <v>1020</v>
      </c>
      <c r="C1" s="3004"/>
      <c r="D1" s="3004"/>
      <c r="E1" s="3004"/>
      <c r="F1" s="3004"/>
      <c r="G1" s="3004"/>
      <c r="H1" s="244"/>
    </row>
    <row r="2" spans="1:8" ht="23.25" customHeight="1" x14ac:dyDescent="0.3">
      <c r="A2" s="3005" t="s">
        <v>1021</v>
      </c>
      <c r="B2" s="3007"/>
      <c r="C2" s="592"/>
      <c r="D2" s="2203" t="s">
        <v>1023</v>
      </c>
      <c r="E2" s="3009" t="s">
        <v>1022</v>
      </c>
      <c r="F2" s="3009"/>
      <c r="G2" s="3010"/>
      <c r="H2" s="488"/>
    </row>
    <row r="3" spans="1:8" ht="75.75" customHeight="1" thickBot="1" x14ac:dyDescent="0.35">
      <c r="A3" s="3006"/>
      <c r="B3" s="3008"/>
      <c r="C3" s="488"/>
      <c r="D3" s="2267"/>
      <c r="E3" s="453" t="s">
        <v>1024</v>
      </c>
      <c r="F3" s="489" t="s">
        <v>1025</v>
      </c>
      <c r="G3" s="490" t="s">
        <v>1026</v>
      </c>
      <c r="H3" s="491"/>
    </row>
    <row r="4" spans="1:8" ht="30.75" customHeight="1" x14ac:dyDescent="0.3">
      <c r="A4" s="538"/>
      <c r="B4" s="507" t="s">
        <v>277</v>
      </c>
      <c r="C4" s="579" t="s">
        <v>1126</v>
      </c>
      <c r="D4" s="543">
        <f>'Звіт  7,8'!E21</f>
        <v>577</v>
      </c>
      <c r="E4" s="450" t="s">
        <v>296</v>
      </c>
      <c r="F4" s="450" t="s">
        <v>296</v>
      </c>
      <c r="G4" s="451" t="s">
        <v>296</v>
      </c>
      <c r="H4" s="491"/>
    </row>
    <row r="5" spans="1:8" ht="30.75" customHeight="1" x14ac:dyDescent="0.3">
      <c r="A5" s="492"/>
      <c r="B5" s="493" t="s">
        <v>1028</v>
      </c>
      <c r="C5" s="452" t="s">
        <v>1127</v>
      </c>
      <c r="D5" s="541">
        <f>'Звіт  7,8'!E29</f>
        <v>9758.2345465049093</v>
      </c>
      <c r="E5" s="457" t="s">
        <v>296</v>
      </c>
      <c r="F5" s="457" t="s">
        <v>296</v>
      </c>
      <c r="G5" s="454" t="s">
        <v>296</v>
      </c>
      <c r="H5" s="491"/>
    </row>
    <row r="6" spans="1:8" ht="34.5" customHeight="1" x14ac:dyDescent="0.3">
      <c r="A6" s="492"/>
      <c r="B6" s="493" t="s">
        <v>1029</v>
      </c>
      <c r="C6" s="452" t="s">
        <v>1128</v>
      </c>
      <c r="D6" s="541">
        <f>'Звіт  7,8'!F29</f>
        <v>23228.166666666668</v>
      </c>
      <c r="E6" s="457" t="s">
        <v>296</v>
      </c>
      <c r="F6" s="457" t="s">
        <v>296</v>
      </c>
      <c r="G6" s="454" t="s">
        <v>296</v>
      </c>
      <c r="H6" s="491"/>
    </row>
    <row r="7" spans="1:8" ht="24.75" customHeight="1" thickBot="1" x14ac:dyDescent="0.35">
      <c r="A7" s="494"/>
      <c r="B7" s="495" t="s">
        <v>1030</v>
      </c>
      <c r="C7" s="593" t="s">
        <v>1129</v>
      </c>
      <c r="D7" s="542">
        <f>'Звіт  7,8'!H29</f>
        <v>14128.272300469484</v>
      </c>
      <c r="E7" s="496" t="s">
        <v>296</v>
      </c>
      <c r="F7" s="496" t="s">
        <v>296</v>
      </c>
      <c r="G7" s="497" t="s">
        <v>296</v>
      </c>
      <c r="H7" s="491"/>
    </row>
    <row r="8" spans="1:8" ht="24.75" customHeight="1" thickBot="1" x14ac:dyDescent="0.35">
      <c r="A8" s="595"/>
      <c r="B8" s="596" t="s">
        <v>1027</v>
      </c>
      <c r="C8" s="596" t="s">
        <v>1130</v>
      </c>
      <c r="D8" s="597">
        <f>E8+F8</f>
        <v>27114576</v>
      </c>
      <c r="E8" s="597">
        <f>E9+E10+E11+E14</f>
        <v>14315511</v>
      </c>
      <c r="F8" s="597">
        <f>F12+F13</f>
        <v>12799065</v>
      </c>
      <c r="G8" s="378"/>
      <c r="H8" s="491"/>
    </row>
    <row r="9" spans="1:8" ht="24.75" customHeight="1" x14ac:dyDescent="0.3">
      <c r="A9" s="538"/>
      <c r="B9" s="507" t="s">
        <v>1031</v>
      </c>
      <c r="C9" s="599" t="s">
        <v>1131</v>
      </c>
      <c r="D9" s="460">
        <f t="shared" ref="D9:D14" si="0">E9+F9</f>
        <v>14296309</v>
      </c>
      <c r="E9" s="460">
        <f>'Звіт 1,2,3'!H19</f>
        <v>14296309</v>
      </c>
      <c r="F9" s="450"/>
      <c r="G9" s="451"/>
      <c r="H9" s="491"/>
    </row>
    <row r="10" spans="1:8" ht="24.75" customHeight="1" x14ac:dyDescent="0.3">
      <c r="A10" s="492"/>
      <c r="B10" s="493" t="s">
        <v>1032</v>
      </c>
      <c r="C10" s="580" t="s">
        <v>1132</v>
      </c>
      <c r="D10" s="374">
        <f t="shared" si="0"/>
        <v>0</v>
      </c>
      <c r="E10" s="374">
        <f>'Звіт 1,2,3'!I55+'Звіт 1,2,3'!I56</f>
        <v>0</v>
      </c>
      <c r="F10" s="457"/>
      <c r="G10" s="454"/>
      <c r="H10" s="491"/>
    </row>
    <row r="11" spans="1:8" ht="24.75" customHeight="1" x14ac:dyDescent="0.3">
      <c r="A11" s="492"/>
      <c r="B11" s="493" t="s">
        <v>1033</v>
      </c>
      <c r="C11" s="580" t="s">
        <v>1133</v>
      </c>
      <c r="D11" s="374">
        <f t="shared" si="0"/>
        <v>0</v>
      </c>
      <c r="E11" s="374">
        <f>'Звіт 1,2,3'!I57</f>
        <v>0</v>
      </c>
      <c r="F11" s="457"/>
      <c r="G11" s="454"/>
      <c r="H11" s="491"/>
    </row>
    <row r="12" spans="1:8" ht="24.75" customHeight="1" x14ac:dyDescent="0.3">
      <c r="A12" s="492"/>
      <c r="B12" s="493" t="s">
        <v>1034</v>
      </c>
      <c r="C12" s="580" t="s">
        <v>1134</v>
      </c>
      <c r="D12" s="374">
        <f t="shared" si="0"/>
        <v>12260374</v>
      </c>
      <c r="E12" s="457"/>
      <c r="F12" s="374">
        <f>'Звіт 1,2,3'!I19+'Звіт 1,2,3'!J19+'Звіт 1,2,3'!K19+'Звіт 1,2,3'!L19</f>
        <v>12260374</v>
      </c>
      <c r="G12" s="454"/>
      <c r="H12" s="491"/>
    </row>
    <row r="13" spans="1:8" ht="24.75" customHeight="1" x14ac:dyDescent="0.3">
      <c r="A13" s="492"/>
      <c r="B13" s="493" t="s">
        <v>1035</v>
      </c>
      <c r="C13" s="580" t="s">
        <v>1135</v>
      </c>
      <c r="D13" s="374">
        <f t="shared" si="0"/>
        <v>538691</v>
      </c>
      <c r="E13" s="457"/>
      <c r="F13" s="374">
        <f>'Звіт 1,2,3'!M19+'Звіт 1,2,3'!N19</f>
        <v>538691</v>
      </c>
      <c r="G13" s="454"/>
      <c r="H13" s="491"/>
    </row>
    <row r="14" spans="1:8" ht="24.75" customHeight="1" thickBot="1" x14ac:dyDescent="0.35">
      <c r="A14" s="494"/>
      <c r="B14" s="495" t="s">
        <v>1036</v>
      </c>
      <c r="C14" s="600" t="s">
        <v>1136</v>
      </c>
      <c r="D14" s="508">
        <f t="shared" si="0"/>
        <v>19202</v>
      </c>
      <c r="E14" s="508">
        <f>'Звіт 1,2,3'!I58</f>
        <v>19202</v>
      </c>
      <c r="F14" s="496"/>
      <c r="G14" s="497"/>
      <c r="H14" s="491"/>
    </row>
    <row r="15" spans="1:8" ht="39.75" customHeight="1" x14ac:dyDescent="0.3">
      <c r="A15" s="552"/>
      <c r="B15" s="501" t="s">
        <v>1121</v>
      </c>
      <c r="C15" s="598" t="s">
        <v>1137</v>
      </c>
      <c r="D15" s="502">
        <f>'Звіт 1,2,3'!P19</f>
        <v>0</v>
      </c>
      <c r="E15" s="502"/>
      <c r="F15" s="455"/>
      <c r="G15" s="456"/>
      <c r="H15" s="491"/>
    </row>
    <row r="16" spans="1:8" ht="45" customHeight="1" x14ac:dyDescent="0.3">
      <c r="A16" s="492"/>
      <c r="B16" s="493" t="s">
        <v>1122</v>
      </c>
      <c r="C16" s="581" t="s">
        <v>1138</v>
      </c>
      <c r="D16" s="374">
        <f>'Звіт 1,2,3'!Q19</f>
        <v>0</v>
      </c>
      <c r="E16" s="374"/>
      <c r="F16" s="457"/>
      <c r="G16" s="454"/>
      <c r="H16" s="491"/>
    </row>
    <row r="17" spans="1:8" ht="24.75" customHeight="1" x14ac:dyDescent="0.3">
      <c r="A17" s="492"/>
      <c r="B17" s="493" t="s">
        <v>1123</v>
      </c>
      <c r="C17" s="581" t="s">
        <v>1139</v>
      </c>
      <c r="D17" s="374">
        <f>'Звіт 1,2,3'!S19</f>
        <v>0</v>
      </c>
      <c r="E17" s="374"/>
      <c r="F17" s="457"/>
      <c r="G17" s="454"/>
      <c r="H17" s="491"/>
    </row>
    <row r="18" spans="1:8" ht="48.75" customHeight="1" x14ac:dyDescent="0.3">
      <c r="A18" s="492"/>
      <c r="B18" s="493" t="s">
        <v>1124</v>
      </c>
      <c r="C18" s="581" t="s">
        <v>1140</v>
      </c>
      <c r="D18" s="374">
        <f>'Звіт 1,2,3'!T19</f>
        <v>0</v>
      </c>
      <c r="E18" s="374"/>
      <c r="F18" s="457"/>
      <c r="G18" s="454"/>
      <c r="H18" s="491"/>
    </row>
    <row r="19" spans="1:8" ht="48.75" customHeight="1" thickBot="1" x14ac:dyDescent="0.35">
      <c r="A19" s="494"/>
      <c r="B19" s="495" t="s">
        <v>1125</v>
      </c>
      <c r="C19" s="594" t="s">
        <v>1141</v>
      </c>
      <c r="D19" s="508">
        <f>'Звіт 1,2,3'!U19+'Звіт 1,2,3'!V19</f>
        <v>0</v>
      </c>
      <c r="E19" s="508"/>
      <c r="F19" s="496"/>
      <c r="G19" s="497"/>
      <c r="H19" s="491"/>
    </row>
    <row r="20" spans="1:8" ht="24.75" customHeight="1" x14ac:dyDescent="0.3">
      <c r="A20" s="538"/>
      <c r="B20" s="507" t="s">
        <v>321</v>
      </c>
      <c r="C20" s="507" t="s">
        <v>1142</v>
      </c>
      <c r="D20" s="460">
        <f>'Звіт 1,2,3'!G29</f>
        <v>10833691</v>
      </c>
      <c r="E20" s="460">
        <f>E23+E26</f>
        <v>1226602</v>
      </c>
      <c r="F20" s="460">
        <f>F24+F25</f>
        <v>9607089</v>
      </c>
      <c r="G20" s="451"/>
      <c r="H20" s="491"/>
    </row>
    <row r="21" spans="1:8" ht="38.25" customHeight="1" x14ac:dyDescent="0.3">
      <c r="A21" s="552"/>
      <c r="B21" s="501" t="s">
        <v>1100</v>
      </c>
      <c r="C21" s="556" t="s">
        <v>1143</v>
      </c>
      <c r="D21" s="502">
        <f>'Звіт   9'!K27/('Звіт 10, 11,12,13,14'!R26/1000/6)</f>
        <v>23.654470547463426</v>
      </c>
      <c r="E21" s="502"/>
      <c r="F21" s="502"/>
      <c r="G21" s="456"/>
      <c r="H21" s="491"/>
    </row>
    <row r="22" spans="1:8" ht="38.25" customHeight="1" x14ac:dyDescent="0.3">
      <c r="A22" s="552"/>
      <c r="B22" s="501" t="s">
        <v>1101</v>
      </c>
      <c r="C22" s="556" t="s">
        <v>1144</v>
      </c>
      <c r="D22" s="502">
        <f>'Звіт   9'!K27/('Звіт 10, 11,12,13,14'!R26/1000/9)</f>
        <v>35.481705821195142</v>
      </c>
      <c r="E22" s="502"/>
      <c r="F22" s="502"/>
      <c r="G22" s="456"/>
      <c r="H22" s="491"/>
    </row>
    <row r="23" spans="1:8" ht="24.75" customHeight="1" x14ac:dyDescent="0.3">
      <c r="A23" s="492"/>
      <c r="B23" s="493" t="s">
        <v>322</v>
      </c>
      <c r="C23" s="582" t="s">
        <v>1145</v>
      </c>
      <c r="D23" s="374">
        <f>'Звіт 1,2,3'!H29</f>
        <v>1226602</v>
      </c>
      <c r="E23" s="374">
        <f>'Звіт 1,2,3'!H29</f>
        <v>1226602</v>
      </c>
      <c r="F23" s="457"/>
      <c r="G23" s="454"/>
      <c r="H23" s="491"/>
    </row>
    <row r="24" spans="1:8" ht="24.75" customHeight="1" x14ac:dyDescent="0.3">
      <c r="A24" s="492"/>
      <c r="B24" s="493" t="s">
        <v>323</v>
      </c>
      <c r="C24" s="582" t="s">
        <v>1187</v>
      </c>
      <c r="D24" s="374">
        <f>F24</f>
        <v>9068398</v>
      </c>
      <c r="E24" s="374"/>
      <c r="F24" s="374">
        <f>'Звіт 1,2,3'!I29+'Звіт 1,2,3'!J29+'Звіт 1,2,3'!K29+'Звіт 1,2,3'!L29</f>
        <v>9068398</v>
      </c>
      <c r="G24" s="454"/>
      <c r="H24" s="491"/>
    </row>
    <row r="25" spans="1:8" ht="24.75" customHeight="1" x14ac:dyDescent="0.3">
      <c r="A25" s="492"/>
      <c r="B25" s="493" t="s">
        <v>324</v>
      </c>
      <c r="C25" s="582" t="s">
        <v>1189</v>
      </c>
      <c r="D25" s="374">
        <f>F25</f>
        <v>538691</v>
      </c>
      <c r="E25" s="374"/>
      <c r="F25" s="374">
        <f>'Звіт 1,2,3'!M29+'Звіт 1,2,3'!N29</f>
        <v>538691</v>
      </c>
      <c r="G25" s="454"/>
      <c r="H25" s="491"/>
    </row>
    <row r="26" spans="1:8" ht="24.75" customHeight="1" thickBot="1" x14ac:dyDescent="0.35">
      <c r="A26" s="494"/>
      <c r="B26" s="495" t="s">
        <v>325</v>
      </c>
      <c r="C26" s="601" t="s">
        <v>1146</v>
      </c>
      <c r="D26" s="508">
        <f>E26</f>
        <v>0</v>
      </c>
      <c r="E26" s="508">
        <f>'Звіт 1,2,3'!O29</f>
        <v>0</v>
      </c>
      <c r="F26" s="508"/>
      <c r="G26" s="497"/>
      <c r="H26" s="491"/>
    </row>
    <row r="27" spans="1:8" ht="24.75" customHeight="1" x14ac:dyDescent="0.3">
      <c r="A27" s="538"/>
      <c r="B27" s="507" t="s">
        <v>1079</v>
      </c>
      <c r="C27" s="507" t="s">
        <v>1147</v>
      </c>
      <c r="D27" s="460">
        <f>'Звіт 1,2,3'!G70</f>
        <v>27308</v>
      </c>
      <c r="E27" s="553">
        <f>E28+E29+E30+E31</f>
        <v>27308</v>
      </c>
      <c r="F27" s="553">
        <f>F28+F29+F30+F31</f>
        <v>0</v>
      </c>
      <c r="G27" s="451"/>
      <c r="H27" s="491"/>
    </row>
    <row r="28" spans="1:8" ht="24.75" customHeight="1" x14ac:dyDescent="0.3">
      <c r="A28" s="492"/>
      <c r="B28" s="493" t="s">
        <v>707</v>
      </c>
      <c r="C28" s="583" t="s">
        <v>1148</v>
      </c>
      <c r="D28" s="541">
        <f>'Звіт 1,2,3'!H70</f>
        <v>27308</v>
      </c>
      <c r="E28" s="374">
        <f>'Звіт 1,2,3'!H70</f>
        <v>27308</v>
      </c>
      <c r="F28" s="457"/>
      <c r="G28" s="454"/>
      <c r="H28" s="491"/>
    </row>
    <row r="29" spans="1:8" ht="24.75" customHeight="1" x14ac:dyDescent="0.3">
      <c r="A29" s="492"/>
      <c r="B29" s="493" t="s">
        <v>708</v>
      </c>
      <c r="C29" s="583" t="s">
        <v>1188</v>
      </c>
      <c r="D29" s="554">
        <f>'Звіт 1,2,3'!I70+'Звіт 1,2,3'!J70+'Звіт 1,2,3'!K70+'Звіт 1,2,3'!L70</f>
        <v>0</v>
      </c>
      <c r="E29" s="554"/>
      <c r="F29" s="554">
        <f>'Звіт 1,2,3'!I70+'Звіт 1,2,3'!J70+'Звіт 1,2,3'!K70+'Звіт 1,2,3'!L70</f>
        <v>0</v>
      </c>
      <c r="G29" s="454"/>
      <c r="H29" s="491"/>
    </row>
    <row r="30" spans="1:8" ht="24.75" customHeight="1" x14ac:dyDescent="0.3">
      <c r="A30" s="492"/>
      <c r="B30" s="493" t="s">
        <v>1080</v>
      </c>
      <c r="C30" s="583" t="s">
        <v>1190</v>
      </c>
      <c r="D30" s="554">
        <f>'Звіт 1,2,3'!M70+'Звіт 1,2,3'!N70</f>
        <v>0</v>
      </c>
      <c r="E30" s="554"/>
      <c r="F30" s="554">
        <f>'Звіт 1,2,3'!M70+'Звіт 1,2,3'!N70</f>
        <v>0</v>
      </c>
      <c r="G30" s="454"/>
      <c r="H30" s="491"/>
    </row>
    <row r="31" spans="1:8" ht="24.75" customHeight="1" thickBot="1" x14ac:dyDescent="0.35">
      <c r="A31" s="494"/>
      <c r="B31" s="495" t="s">
        <v>1081</v>
      </c>
      <c r="C31" s="551" t="s">
        <v>1149</v>
      </c>
      <c r="D31" s="555">
        <f>'Звіт 1,2,3'!O70</f>
        <v>0</v>
      </c>
      <c r="E31" s="555">
        <f>'Звіт 1,2,3'!O70</f>
        <v>0</v>
      </c>
      <c r="F31" s="555"/>
      <c r="G31" s="497"/>
      <c r="H31" s="491"/>
    </row>
    <row r="32" spans="1:8" ht="18.75" customHeight="1" x14ac:dyDescent="0.3">
      <c r="A32" s="539"/>
      <c r="B32" s="540">
        <v>8</v>
      </c>
      <c r="C32" s="584" t="s">
        <v>1150</v>
      </c>
      <c r="D32" s="498">
        <f>'Звіт   4,5,6'!H7</f>
        <v>23081835</v>
      </c>
      <c r="E32" s="498">
        <f>'Звіт   4,5,6'!H8+'Звіт   4,5,6'!H18+'Звіт   4,5,6'!H19+'Звіт   4,5,6'!H20</f>
        <v>14315511</v>
      </c>
      <c r="F32" s="498">
        <f>'Звіт   4,5,6'!H16</f>
        <v>8649028</v>
      </c>
      <c r="G32" s="499">
        <f>'Звіт   4,5,6'!H22</f>
        <v>117296</v>
      </c>
      <c r="H32" s="500"/>
    </row>
    <row r="33" spans="1:8" ht="21.75" customHeight="1" x14ac:dyDescent="0.3">
      <c r="A33" s="66"/>
      <c r="B33" s="493" t="s">
        <v>1082</v>
      </c>
      <c r="C33" s="461" t="s">
        <v>1151</v>
      </c>
      <c r="D33" s="374">
        <f>'Звіт   4,5,6'!H8</f>
        <v>14296309</v>
      </c>
      <c r="E33" s="374">
        <f>'Звіт   4,5,6'!H8</f>
        <v>14296309</v>
      </c>
      <c r="F33" s="374" t="s">
        <v>296</v>
      </c>
      <c r="G33" s="504" t="s">
        <v>296</v>
      </c>
      <c r="H33" s="500"/>
    </row>
    <row r="34" spans="1:8" ht="21.75" customHeight="1" x14ac:dyDescent="0.25">
      <c r="A34" s="66"/>
      <c r="B34" s="503" t="s">
        <v>1083</v>
      </c>
      <c r="C34" s="585" t="s">
        <v>1152</v>
      </c>
      <c r="D34" s="374">
        <f t="shared" ref="D34:D39" si="1">E34</f>
        <v>0</v>
      </c>
      <c r="E34" s="374">
        <f>'Звіт   4,5,6'!H9</f>
        <v>0</v>
      </c>
      <c r="F34" s="374" t="s">
        <v>296</v>
      </c>
      <c r="G34" s="504" t="s">
        <v>296</v>
      </c>
      <c r="H34" s="500"/>
    </row>
    <row r="35" spans="1:8" ht="21.75" customHeight="1" x14ac:dyDescent="0.25">
      <c r="A35" s="66"/>
      <c r="B35" s="505" t="s">
        <v>1084</v>
      </c>
      <c r="C35" s="585" t="s">
        <v>1153</v>
      </c>
      <c r="D35" s="374">
        <f t="shared" si="1"/>
        <v>0</v>
      </c>
      <c r="E35" s="374">
        <f>'Звіт   4,5,6'!H10</f>
        <v>0</v>
      </c>
      <c r="F35" s="374" t="s">
        <v>296</v>
      </c>
      <c r="G35" s="504" t="s">
        <v>296</v>
      </c>
      <c r="H35" s="500"/>
    </row>
    <row r="36" spans="1:8" ht="21.75" customHeight="1" x14ac:dyDescent="0.25">
      <c r="A36" s="66"/>
      <c r="B36" s="506" t="s">
        <v>1085</v>
      </c>
      <c r="C36" s="585" t="s">
        <v>1154</v>
      </c>
      <c r="D36" s="374">
        <f t="shared" si="1"/>
        <v>14296309</v>
      </c>
      <c r="E36" s="374">
        <f>'Звіт   4,5,6'!H11</f>
        <v>14296309</v>
      </c>
      <c r="F36" s="374" t="s">
        <v>296</v>
      </c>
      <c r="G36" s="504" t="s">
        <v>296</v>
      </c>
      <c r="H36" s="500"/>
    </row>
    <row r="37" spans="1:8" ht="21.75" customHeight="1" x14ac:dyDescent="0.25">
      <c r="A37" s="66"/>
      <c r="B37" s="506" t="s">
        <v>1086</v>
      </c>
      <c r="C37" s="463" t="s">
        <v>1155</v>
      </c>
      <c r="D37" s="374">
        <f t="shared" si="1"/>
        <v>14296309</v>
      </c>
      <c r="E37" s="374">
        <f>'Звіт   4,5,6'!H12</f>
        <v>14296309</v>
      </c>
      <c r="F37" s="374" t="s">
        <v>296</v>
      </c>
      <c r="G37" s="504" t="s">
        <v>296</v>
      </c>
      <c r="H37" s="500"/>
    </row>
    <row r="38" spans="1:8" ht="21.75" customHeight="1" x14ac:dyDescent="0.25">
      <c r="A38" s="66"/>
      <c r="B38" s="506" t="s">
        <v>1087</v>
      </c>
      <c r="C38" s="463" t="s">
        <v>1156</v>
      </c>
      <c r="D38" s="374">
        <f t="shared" si="1"/>
        <v>0</v>
      </c>
      <c r="E38" s="374">
        <f>E36-E37</f>
        <v>0</v>
      </c>
      <c r="F38" s="374"/>
      <c r="G38" s="504"/>
      <c r="H38" s="500"/>
    </row>
    <row r="39" spans="1:8" ht="21.75" customHeight="1" x14ac:dyDescent="0.25">
      <c r="A39" s="66"/>
      <c r="B39" s="506" t="s">
        <v>1088</v>
      </c>
      <c r="C39" s="585" t="s">
        <v>1524</v>
      </c>
      <c r="D39" s="374">
        <f t="shared" si="1"/>
        <v>0</v>
      </c>
      <c r="E39" s="374">
        <f>'Звіт   4,5,6'!H13</f>
        <v>0</v>
      </c>
      <c r="F39" s="374" t="s">
        <v>296</v>
      </c>
      <c r="G39" s="504" t="s">
        <v>296</v>
      </c>
      <c r="H39" s="500"/>
    </row>
    <row r="40" spans="1:8" ht="21.75" customHeight="1" x14ac:dyDescent="0.25">
      <c r="A40" s="66"/>
      <c r="B40" s="506" t="s">
        <v>1525</v>
      </c>
      <c r="C40" s="585" t="s">
        <v>1526</v>
      </c>
      <c r="D40" s="374">
        <f>'Звіт   4,5,6'!H14</f>
        <v>0</v>
      </c>
      <c r="E40" s="374">
        <f>D40</f>
        <v>0</v>
      </c>
      <c r="F40" s="374"/>
      <c r="G40" s="504"/>
      <c r="H40" s="500"/>
    </row>
    <row r="41" spans="1:8" ht="18.75" customHeight="1" x14ac:dyDescent="0.3">
      <c r="A41" s="66"/>
      <c r="B41" s="493" t="s">
        <v>1089</v>
      </c>
      <c r="C41" s="461" t="s">
        <v>1157</v>
      </c>
      <c r="D41" s="374">
        <f>'Звіт   4,5,6'!H15</f>
        <v>8668230</v>
      </c>
      <c r="E41" s="374">
        <f>'Звіт   4,5,6'!H18+'Звіт   4,5,6'!H19+'Звіт   4,5,6'!H20</f>
        <v>19202</v>
      </c>
      <c r="F41" s="374">
        <f>'Звіт   4,5,6'!H16</f>
        <v>8649028</v>
      </c>
      <c r="G41" s="504" t="s">
        <v>296</v>
      </c>
      <c r="H41" s="500"/>
    </row>
    <row r="42" spans="1:8" ht="42.75" customHeight="1" x14ac:dyDescent="0.25">
      <c r="A42" s="66"/>
      <c r="B42" s="503" t="s">
        <v>1090</v>
      </c>
      <c r="C42" s="458" t="s">
        <v>1158</v>
      </c>
      <c r="D42" s="374">
        <f>F42</f>
        <v>8649028</v>
      </c>
      <c r="E42" s="374" t="s">
        <v>296</v>
      </c>
      <c r="F42" s="374">
        <f>'Звіт   4,5,6'!H16</f>
        <v>8649028</v>
      </c>
      <c r="G42" s="504" t="s">
        <v>296</v>
      </c>
      <c r="H42" s="500"/>
    </row>
    <row r="43" spans="1:8" ht="23.25" customHeight="1" x14ac:dyDescent="0.25">
      <c r="A43" s="66"/>
      <c r="B43" s="505" t="s">
        <v>1091</v>
      </c>
      <c r="C43" s="458" t="s">
        <v>1159</v>
      </c>
      <c r="D43" s="374">
        <f>E43</f>
        <v>0</v>
      </c>
      <c r="E43" s="374">
        <f>'Звіт   4,5,6'!H18</f>
        <v>0</v>
      </c>
      <c r="F43" s="374" t="s">
        <v>296</v>
      </c>
      <c r="G43" s="504" t="s">
        <v>296</v>
      </c>
      <c r="H43" s="500"/>
    </row>
    <row r="44" spans="1:8" ht="42.75" customHeight="1" x14ac:dyDescent="0.25">
      <c r="A44" s="66"/>
      <c r="B44" s="506" t="s">
        <v>1092</v>
      </c>
      <c r="C44" s="458" t="s">
        <v>1160</v>
      </c>
      <c r="D44" s="374">
        <f>E44</f>
        <v>0</v>
      </c>
      <c r="E44" s="374">
        <f>'Звіт   4,5,6'!H19</f>
        <v>0</v>
      </c>
      <c r="F44" s="374" t="s">
        <v>296</v>
      </c>
      <c r="G44" s="504" t="s">
        <v>296</v>
      </c>
      <c r="H44" s="500"/>
    </row>
    <row r="45" spans="1:8" ht="21" customHeight="1" x14ac:dyDescent="0.25">
      <c r="A45" s="66"/>
      <c r="B45" s="506" t="s">
        <v>1093</v>
      </c>
      <c r="C45" s="458" t="s">
        <v>1161</v>
      </c>
      <c r="D45" s="374">
        <f>E45</f>
        <v>19202</v>
      </c>
      <c r="E45" s="374">
        <f>'Звіт   4,5,6'!H20</f>
        <v>19202</v>
      </c>
      <c r="F45" s="374" t="s">
        <v>296</v>
      </c>
      <c r="G45" s="504" t="s">
        <v>296</v>
      </c>
      <c r="H45" s="500"/>
    </row>
    <row r="46" spans="1:8" ht="21" customHeight="1" x14ac:dyDescent="0.25">
      <c r="A46" s="66"/>
      <c r="B46" s="506" t="s">
        <v>1094</v>
      </c>
      <c r="C46" s="458" t="s">
        <v>1162</v>
      </c>
      <c r="D46" s="374">
        <f>'Звіт   4,5,6'!H21</f>
        <v>0</v>
      </c>
      <c r="E46" s="374">
        <f>'Звіт   4,5,6'!H21</f>
        <v>0</v>
      </c>
      <c r="F46" s="374" t="s">
        <v>296</v>
      </c>
      <c r="G46" s="504" t="s">
        <v>296</v>
      </c>
      <c r="H46" s="500"/>
    </row>
    <row r="47" spans="1:8" ht="24" customHeight="1" x14ac:dyDescent="0.25">
      <c r="A47" s="66"/>
      <c r="B47" s="536" t="s">
        <v>1095</v>
      </c>
      <c r="C47" s="461" t="s">
        <v>1163</v>
      </c>
      <c r="D47" s="374">
        <f>'Звіт   4,5,6'!H22</f>
        <v>117296</v>
      </c>
      <c r="E47" s="374" t="s">
        <v>296</v>
      </c>
      <c r="F47" s="374" t="s">
        <v>296</v>
      </c>
      <c r="G47" s="504">
        <f>'Звіт   4,5,6'!H22</f>
        <v>117296</v>
      </c>
      <c r="H47" s="500"/>
    </row>
    <row r="48" spans="1:8" ht="48.75" customHeight="1" x14ac:dyDescent="0.25">
      <c r="A48" s="66"/>
      <c r="B48" s="510" t="s">
        <v>1096</v>
      </c>
      <c r="C48" s="458" t="s">
        <v>1164</v>
      </c>
      <c r="D48" s="374">
        <f>'Звіт   4,5,6'!H23</f>
        <v>95796</v>
      </c>
      <c r="E48" s="374" t="s">
        <v>296</v>
      </c>
      <c r="F48" s="374" t="s">
        <v>296</v>
      </c>
      <c r="G48" s="504">
        <f>'Звіт   4,5,6'!H23</f>
        <v>95796</v>
      </c>
      <c r="H48" s="500"/>
    </row>
    <row r="49" spans="1:10" ht="47.25" customHeight="1" x14ac:dyDescent="0.25">
      <c r="A49" s="66"/>
      <c r="B49" s="510" t="s">
        <v>1097</v>
      </c>
      <c r="C49" s="458" t="s">
        <v>1165</v>
      </c>
      <c r="D49" s="374">
        <f>'Звіт   4,5,6'!H24</f>
        <v>21500</v>
      </c>
      <c r="E49" s="374" t="s">
        <v>296</v>
      </c>
      <c r="F49" s="374" t="s">
        <v>296</v>
      </c>
      <c r="G49" s="504">
        <f>'Звіт   4,5,6'!H24</f>
        <v>21500</v>
      </c>
      <c r="H49" s="500"/>
    </row>
    <row r="50" spans="1:10" ht="29.1" customHeight="1" thickBot="1" x14ac:dyDescent="0.3">
      <c r="A50" s="67"/>
      <c r="B50" s="537" t="s">
        <v>1098</v>
      </c>
      <c r="C50" s="462" t="s">
        <v>1166</v>
      </c>
      <c r="D50" s="508">
        <f>'Звіт   4,5,6'!H25</f>
        <v>0</v>
      </c>
      <c r="E50" s="508" t="s">
        <v>296</v>
      </c>
      <c r="F50" s="508" t="s">
        <v>296</v>
      </c>
      <c r="G50" s="509">
        <f>'Звіт   4,5,6'!H25</f>
        <v>0</v>
      </c>
      <c r="H50" s="500"/>
    </row>
    <row r="51" spans="1:10" ht="29.1" customHeight="1" thickBot="1" x14ac:dyDescent="0.3">
      <c r="A51" s="858"/>
      <c r="B51" s="859" t="s">
        <v>1533</v>
      </c>
      <c r="C51" s="860" t="s">
        <v>1410</v>
      </c>
      <c r="D51" s="861">
        <f>('Звіт 10, 11,12,13,14'!$G$87+'Звіт 10, 11,12,13,14'!I81)</f>
        <v>0</v>
      </c>
      <c r="E51" s="862"/>
      <c r="F51" s="862"/>
      <c r="G51" s="863"/>
      <c r="H51" s="500"/>
    </row>
    <row r="52" spans="1:10" s="9" customFormat="1" ht="25.35" customHeight="1" x14ac:dyDescent="0.3">
      <c r="A52" s="531"/>
      <c r="B52" s="532" t="s">
        <v>1099</v>
      </c>
      <c r="C52" s="586" t="s">
        <v>1167</v>
      </c>
      <c r="D52" s="533">
        <f>'Звіт   4,5,6'!E37</f>
        <v>32998630</v>
      </c>
      <c r="E52" s="534">
        <f>'Звіт   4,5,6'!G38+'Звіт   4,5,6'!K38+'Звіт   4,5,6'!M38+'Звіт   4,5,6'!Q38</f>
        <v>24349602</v>
      </c>
      <c r="F52" s="534">
        <f>'Звіт   4,5,6'!O38</f>
        <v>8649028</v>
      </c>
      <c r="G52" s="535">
        <f>'Звіт   4,5,6'!D92</f>
        <v>0</v>
      </c>
      <c r="H52" s="511"/>
    </row>
    <row r="53" spans="1:10" s="9" customFormat="1" ht="25.35" customHeight="1" x14ac:dyDescent="0.3">
      <c r="A53" s="512"/>
      <c r="B53" s="532" t="s">
        <v>1099</v>
      </c>
      <c r="C53" s="587" t="s">
        <v>1168</v>
      </c>
      <c r="D53" s="515">
        <f>'Звіт   4,5,6'!E37+'Звіт   4,5,6'!E88</f>
        <v>33116604</v>
      </c>
      <c r="E53" s="513" t="s">
        <v>296</v>
      </c>
      <c r="F53" s="513" t="s">
        <v>296</v>
      </c>
      <c r="G53" s="514" t="s">
        <v>296</v>
      </c>
      <c r="H53" s="511"/>
    </row>
    <row r="54" spans="1:10" s="9" customFormat="1" ht="25.35" customHeight="1" x14ac:dyDescent="0.3">
      <c r="A54" s="516"/>
      <c r="B54" s="517" t="s">
        <v>1102</v>
      </c>
      <c r="C54" s="588" t="s">
        <v>1169</v>
      </c>
      <c r="D54" s="519">
        <f>'Звіт   4,5,6'!E38</f>
        <v>32998630</v>
      </c>
      <c r="E54" s="162">
        <f>'Звіт   4,5,6'!G38+'Звіт   4,5,6'!K38+'Звіт   4,5,6'!M38+'Звіт   4,5,6'!Q38</f>
        <v>24349602</v>
      </c>
      <c r="F54" s="162">
        <f>'Звіт   4,5,6'!O38</f>
        <v>8649028</v>
      </c>
      <c r="G54" s="518" t="s">
        <v>296</v>
      </c>
      <c r="H54" s="511">
        <f>D54-E54-F54</f>
        <v>0</v>
      </c>
    </row>
    <row r="55" spans="1:10" s="9" customFormat="1" ht="25.35" customHeight="1" thickBot="1" x14ac:dyDescent="0.35">
      <c r="A55" s="558"/>
      <c r="B55" s="559" t="s">
        <v>1102</v>
      </c>
      <c r="C55" s="589" t="s">
        <v>1170</v>
      </c>
      <c r="D55" s="560">
        <f>'Звіт   4,5,6'!E38+'Звіт   4,5,6'!E88</f>
        <v>33116604</v>
      </c>
      <c r="E55" s="561" t="s">
        <v>296</v>
      </c>
      <c r="F55" s="561" t="s">
        <v>296</v>
      </c>
      <c r="G55" s="562"/>
      <c r="H55" s="511"/>
    </row>
    <row r="56" spans="1:10" s="9" customFormat="1" ht="25.35" customHeight="1" x14ac:dyDescent="0.3">
      <c r="A56" s="564">
        <v>2</v>
      </c>
      <c r="B56" s="565" t="s">
        <v>1103</v>
      </c>
      <c r="C56" s="648" t="s">
        <v>1171</v>
      </c>
      <c r="D56" s="566">
        <f>'Звіт   4,5,6'!E39</f>
        <v>16891504</v>
      </c>
      <c r="E56" s="566">
        <f>'Звіт   4,5,6'!G39+'Звіт   4,5,6'!K39+'Звіт   4,5,6'!M39+'Звіт   4,5,6'!Q39</f>
        <v>16891504</v>
      </c>
      <c r="F56" s="566">
        <f>'Звіт   4,5,6'!O39</f>
        <v>0</v>
      </c>
      <c r="G56" s="567" t="s">
        <v>296</v>
      </c>
      <c r="H56" s="511">
        <f>D56-E56-F56</f>
        <v>0</v>
      </c>
      <c r="J56" s="557"/>
    </row>
    <row r="57" spans="1:10" s="9" customFormat="1" ht="28.5" customHeight="1" x14ac:dyDescent="0.3">
      <c r="A57" s="520">
        <v>3</v>
      </c>
      <c r="B57" s="521" t="s">
        <v>1104</v>
      </c>
      <c r="C57" s="648" t="s">
        <v>1172</v>
      </c>
      <c r="D57" s="419">
        <f>'Звіт   4,5,6'!E40</f>
        <v>3761579</v>
      </c>
      <c r="E57" s="419">
        <f>'Звіт   4,5,6'!G40+'Звіт   4,5,6'!K40+'Звіт   4,5,6'!M40+'Звіт   4,5,6'!Q40</f>
        <v>3761579</v>
      </c>
      <c r="F57" s="419">
        <f>'Звіт   4,5,6'!O40</f>
        <v>0</v>
      </c>
      <c r="G57" s="522" t="s">
        <v>296</v>
      </c>
      <c r="H57" s="511">
        <f t="shared" ref="H57:H66" si="2">D57-E57-F57</f>
        <v>0</v>
      </c>
      <c r="J57" s="557"/>
    </row>
    <row r="58" spans="1:10" s="9" customFormat="1" ht="25.35" customHeight="1" x14ac:dyDescent="0.3">
      <c r="A58" s="520">
        <v>4</v>
      </c>
      <c r="B58" s="521" t="s">
        <v>1105</v>
      </c>
      <c r="C58" s="648" t="s">
        <v>1173</v>
      </c>
      <c r="D58" s="419">
        <f>'Звіт   4,5,6'!E41</f>
        <v>0</v>
      </c>
      <c r="E58" s="419">
        <f>'Звіт   4,5,6'!G41+'Звіт   4,5,6'!K41+'Звіт   4,5,6'!M41+'Звіт   4,5,6'!Q41</f>
        <v>0</v>
      </c>
      <c r="F58" s="419">
        <f>'Звіт   4,5,6'!O41</f>
        <v>0</v>
      </c>
      <c r="G58" s="522" t="s">
        <v>296</v>
      </c>
      <c r="H58" s="511">
        <f t="shared" si="2"/>
        <v>0</v>
      </c>
      <c r="J58" s="557"/>
    </row>
    <row r="59" spans="1:10" s="9" customFormat="1" ht="25.35" customHeight="1" x14ac:dyDescent="0.3">
      <c r="A59" s="520">
        <v>1</v>
      </c>
      <c r="B59" s="521" t="s">
        <v>1106</v>
      </c>
      <c r="C59" s="648" t="s">
        <v>1174</v>
      </c>
      <c r="D59" s="419">
        <f>'Звіт   4,5,6'!E42</f>
        <v>10437606</v>
      </c>
      <c r="E59" s="419">
        <f>'Звіт   4,5,6'!G42+'Звіт   4,5,6'!K42+'Звіт   4,5,6'!M42+'Звіт   4,5,6'!Q42</f>
        <v>1788578</v>
      </c>
      <c r="F59" s="419">
        <f>'Звіт   4,5,6'!O42</f>
        <v>8649028</v>
      </c>
      <c r="G59" s="522" t="s">
        <v>296</v>
      </c>
      <c r="H59" s="511">
        <f t="shared" si="2"/>
        <v>0</v>
      </c>
      <c r="J59" s="557"/>
    </row>
    <row r="60" spans="1:10" s="9" customFormat="1" ht="25.35" customHeight="1" x14ac:dyDescent="0.3">
      <c r="A60" s="520"/>
      <c r="B60" s="523" t="s">
        <v>1107</v>
      </c>
      <c r="C60" s="647" t="s">
        <v>1175</v>
      </c>
      <c r="D60" s="419">
        <f>'Звіт   4,5,6'!E43</f>
        <v>6851801</v>
      </c>
      <c r="E60" s="419">
        <f>'Звіт   4,5,6'!G43</f>
        <v>1069167</v>
      </c>
      <c r="F60" s="419">
        <f>'Звіт   4,5,6'!O43</f>
        <v>5782634</v>
      </c>
      <c r="G60" s="522" t="s">
        <v>296</v>
      </c>
      <c r="H60" s="511">
        <f t="shared" si="2"/>
        <v>0</v>
      </c>
      <c r="J60" s="557"/>
    </row>
    <row r="61" spans="1:10" s="9" customFormat="1" ht="21.6" customHeight="1" x14ac:dyDescent="0.3">
      <c r="A61" s="520"/>
      <c r="B61" s="523" t="s">
        <v>1108</v>
      </c>
      <c r="C61" s="459" t="s">
        <v>1176</v>
      </c>
      <c r="D61" s="419">
        <f>'Звіт   4,5,6'!E54</f>
        <v>51802</v>
      </c>
      <c r="E61" s="419">
        <f>'Звіт   4,5,6'!G54+'Звіт   4,5,6'!K54+'Звіт   4,5,6'!M54+'Звіт   4,5,6'!Q54</f>
        <v>27294</v>
      </c>
      <c r="F61" s="419">
        <f>'Звіт   4,5,6'!O54</f>
        <v>24508</v>
      </c>
      <c r="G61" s="522" t="s">
        <v>296</v>
      </c>
      <c r="H61" s="511">
        <f t="shared" si="2"/>
        <v>0</v>
      </c>
      <c r="J61" s="557"/>
    </row>
    <row r="62" spans="1:10" s="9" customFormat="1" ht="36.6" customHeight="1" x14ac:dyDescent="0.3">
      <c r="A62" s="520"/>
      <c r="B62" s="523" t="s">
        <v>1109</v>
      </c>
      <c r="C62" s="465" t="s">
        <v>1177</v>
      </c>
      <c r="D62" s="419">
        <f>'Звіт   4,5,6'!E55</f>
        <v>2456324</v>
      </c>
      <c r="E62" s="419">
        <f>'Звіт   4,5,6'!G55+'Звіт   4,5,6'!K55+'Звіт   4,5,6'!M55+'Звіт   4,5,6'!Q55</f>
        <v>0</v>
      </c>
      <c r="F62" s="419">
        <f>'Звіт   4,5,6'!O55</f>
        <v>2456324</v>
      </c>
      <c r="G62" s="522" t="s">
        <v>296</v>
      </c>
      <c r="H62" s="511">
        <f t="shared" si="2"/>
        <v>0</v>
      </c>
      <c r="J62" s="557"/>
    </row>
    <row r="63" spans="1:10" s="9" customFormat="1" ht="24" customHeight="1" x14ac:dyDescent="0.3">
      <c r="A63" s="520"/>
      <c r="B63" s="523" t="s">
        <v>1110</v>
      </c>
      <c r="C63" s="464" t="s">
        <v>1527</v>
      </c>
      <c r="D63" s="419">
        <f>'Звіт   4,5,6'!E58</f>
        <v>0</v>
      </c>
      <c r="E63" s="419">
        <f>'Звіт   4,5,6'!G58+'Звіт   4,5,6'!K58+'Звіт   4,5,6'!M58+'Звіт   4,5,6'!Q58</f>
        <v>0</v>
      </c>
      <c r="F63" s="419">
        <f>'Звіт   4,5,6'!O58</f>
        <v>0</v>
      </c>
      <c r="G63" s="522" t="s">
        <v>296</v>
      </c>
      <c r="H63" s="511">
        <f t="shared" si="2"/>
        <v>0</v>
      </c>
    </row>
    <row r="64" spans="1:10" s="9" customFormat="1" ht="24" customHeight="1" x14ac:dyDescent="0.3">
      <c r="A64" s="520"/>
      <c r="B64" s="523" t="s">
        <v>1111</v>
      </c>
      <c r="C64" s="459" t="s">
        <v>1528</v>
      </c>
      <c r="D64" s="419">
        <f>'Звіт   4,5,6'!E65</f>
        <v>0</v>
      </c>
      <c r="E64" s="419">
        <f>'Звіт   4,5,6'!G65+'Звіт   4,5,6'!K65+'Звіт   4,5,6'!M65+'Звіт   4,5,6'!Q65</f>
        <v>0</v>
      </c>
      <c r="F64" s="419">
        <f>'Звіт   4,5,6'!O65</f>
        <v>0</v>
      </c>
      <c r="G64" s="522" t="s">
        <v>296</v>
      </c>
      <c r="H64" s="511">
        <f t="shared" si="2"/>
        <v>0</v>
      </c>
    </row>
    <row r="65" spans="1:8" s="9" customFormat="1" ht="24" customHeight="1" x14ac:dyDescent="0.3">
      <c r="A65" s="520">
        <v>6</v>
      </c>
      <c r="B65" s="521" t="s">
        <v>1112</v>
      </c>
      <c r="C65" s="461" t="s">
        <v>1178</v>
      </c>
      <c r="D65" s="419">
        <f>'Звіт   4,5,6'!E66</f>
        <v>1907941</v>
      </c>
      <c r="E65" s="419">
        <f>'Звіт   4,5,6'!G66+'Звіт   4,5,6'!K66+'Звіт   4,5,6'!M66+'Звіт   4,5,6'!Q66</f>
        <v>1907941</v>
      </c>
      <c r="F65" s="419">
        <f>'Звіт   4,5,6'!O66</f>
        <v>0</v>
      </c>
      <c r="G65" s="522" t="s">
        <v>296</v>
      </c>
      <c r="H65" s="511">
        <f t="shared" si="2"/>
        <v>0</v>
      </c>
    </row>
    <row r="66" spans="1:8" s="9" customFormat="1" ht="23.1" customHeight="1" x14ac:dyDescent="0.3">
      <c r="A66" s="520">
        <v>5</v>
      </c>
      <c r="B66" s="563" t="s">
        <v>1113</v>
      </c>
      <c r="C66" s="466" t="s">
        <v>1179</v>
      </c>
      <c r="D66" s="419">
        <f>'Звіт   4,5,6'!E88</f>
        <v>117974</v>
      </c>
      <c r="E66" s="419">
        <f>'Звіт   4,5,6'!G88+'Звіт   4,5,6'!K88+'Звіт   4,5,6'!Q88</f>
        <v>38549</v>
      </c>
      <c r="F66" s="419">
        <f>'Звіт   4,5,6'!O88</f>
        <v>79425</v>
      </c>
      <c r="G66" s="522" t="s">
        <v>296</v>
      </c>
      <c r="H66" s="511">
        <f t="shared" si="2"/>
        <v>0</v>
      </c>
    </row>
    <row r="67" spans="1:8" s="9" customFormat="1" ht="23.1" customHeight="1" thickBot="1" x14ac:dyDescent="0.35">
      <c r="A67" s="568">
        <v>7</v>
      </c>
      <c r="B67" s="569" t="s">
        <v>1114</v>
      </c>
      <c r="C67" s="590" t="s">
        <v>1180</v>
      </c>
      <c r="D67" s="570">
        <f>'Звіт   4,5,6'!E92</f>
        <v>0</v>
      </c>
      <c r="E67" s="571" t="s">
        <v>296</v>
      </c>
      <c r="F67" s="571" t="s">
        <v>296</v>
      </c>
      <c r="G67" s="572">
        <f>'Звіт   4,5,6'!E92</f>
        <v>0</v>
      </c>
      <c r="H67" s="511"/>
    </row>
    <row r="68" spans="1:8" ht="29.1" customHeight="1" x14ac:dyDescent="0.25">
      <c r="A68" s="858"/>
      <c r="B68" s="859" t="s">
        <v>1529</v>
      </c>
      <c r="C68" s="860" t="s">
        <v>1530</v>
      </c>
      <c r="D68" s="861">
        <f>'Звіт   4,5,6'!H30+'Звіт   4,5,6'!H31</f>
        <v>0</v>
      </c>
      <c r="E68" s="862"/>
      <c r="F68" s="862"/>
      <c r="G68" s="863"/>
      <c r="H68" s="500"/>
    </row>
    <row r="69" spans="1:8" s="84" customFormat="1" ht="83.25" customHeight="1" x14ac:dyDescent="0.25">
      <c r="A69" s="524"/>
      <c r="B69" s="857">
        <v>10</v>
      </c>
      <c r="C69" s="465" t="s">
        <v>1535</v>
      </c>
      <c r="D69" s="526">
        <f>D32-D48-D49-(D52+D68)</f>
        <v>-10034091</v>
      </c>
      <c r="E69" s="864">
        <f>D32-D48-D49</f>
        <v>22964539</v>
      </c>
      <c r="F69" s="45">
        <f>D52+D68</f>
        <v>32998630</v>
      </c>
      <c r="G69" s="574">
        <f>E69-F69</f>
        <v>-10034091</v>
      </c>
      <c r="H69" s="112"/>
    </row>
    <row r="70" spans="1:8" s="84" customFormat="1" ht="25.5" customHeight="1" x14ac:dyDescent="0.25">
      <c r="A70" s="524"/>
      <c r="B70" s="857" t="s">
        <v>1539</v>
      </c>
      <c r="C70" s="465" t="s">
        <v>1543</v>
      </c>
      <c r="D70" s="865">
        <f>G69*100/E69</f>
        <v>-43.693849025229724</v>
      </c>
      <c r="E70" s="112"/>
      <c r="F70" s="573"/>
      <c r="G70" s="574"/>
      <c r="H70" s="112"/>
    </row>
    <row r="71" spans="1:8" s="84" customFormat="1" ht="81" customHeight="1" x14ac:dyDescent="0.25">
      <c r="A71" s="524"/>
      <c r="B71" s="857">
        <v>11</v>
      </c>
      <c r="C71" s="465" t="s">
        <v>1536</v>
      </c>
      <c r="D71" s="526">
        <f>D32-D48-D49-(D52+D68)+D94*1000</f>
        <v>-10034091</v>
      </c>
      <c r="E71" s="864">
        <f>E69+D94*1000</f>
        <v>22964539</v>
      </c>
      <c r="F71" s="45">
        <f>F69</f>
        <v>32998630</v>
      </c>
      <c r="G71" s="574">
        <f>E71-F71</f>
        <v>-10034091</v>
      </c>
      <c r="H71" s="112"/>
    </row>
    <row r="72" spans="1:8" s="84" customFormat="1" ht="33.75" customHeight="1" x14ac:dyDescent="0.25">
      <c r="A72" s="524"/>
      <c r="B72" s="857" t="s">
        <v>1540</v>
      </c>
      <c r="C72" s="465" t="s">
        <v>1544</v>
      </c>
      <c r="D72" s="865">
        <f>G71*100/E71</f>
        <v>-43.693849025229724</v>
      </c>
      <c r="E72" s="112"/>
      <c r="F72" s="573"/>
      <c r="G72" s="574"/>
      <c r="H72" s="112"/>
    </row>
    <row r="73" spans="1:8" s="84" customFormat="1" ht="70.5" customHeight="1" x14ac:dyDescent="0.25">
      <c r="A73" s="524"/>
      <c r="B73" s="857">
        <v>12</v>
      </c>
      <c r="C73" s="465" t="s">
        <v>1537</v>
      </c>
      <c r="D73" s="526">
        <f>D32-D68-D53</f>
        <v>-10034769</v>
      </c>
      <c r="E73" s="864">
        <f>D32</f>
        <v>23081835</v>
      </c>
      <c r="F73" s="45">
        <f>D53+D68</f>
        <v>33116604</v>
      </c>
      <c r="G73" s="574">
        <f>E73-F73</f>
        <v>-10034769</v>
      </c>
      <c r="H73" s="112"/>
    </row>
    <row r="74" spans="1:8" s="84" customFormat="1" ht="27" customHeight="1" x14ac:dyDescent="0.25">
      <c r="A74" s="524"/>
      <c r="B74" s="857" t="s">
        <v>1541</v>
      </c>
      <c r="C74" s="465" t="s">
        <v>1545</v>
      </c>
      <c r="D74" s="865">
        <f>G73*100/E73</f>
        <v>-43.474745400441513</v>
      </c>
      <c r="E74" s="112"/>
      <c r="F74" s="573"/>
      <c r="G74" s="574"/>
      <c r="H74" s="112"/>
    </row>
    <row r="75" spans="1:8" s="84" customFormat="1" ht="87" customHeight="1" x14ac:dyDescent="0.25">
      <c r="A75" s="524"/>
      <c r="B75" s="857">
        <v>13</v>
      </c>
      <c r="C75" s="465" t="s">
        <v>1538</v>
      </c>
      <c r="D75" s="526">
        <f>D32-D68-D53+D94*1000+D51</f>
        <v>-10034769</v>
      </c>
      <c r="E75" s="864">
        <f>E73+D94*1000+D51</f>
        <v>23081835</v>
      </c>
      <c r="F75" s="45">
        <f>F73</f>
        <v>33116604</v>
      </c>
      <c r="G75" s="574">
        <f>E75-F75</f>
        <v>-10034769</v>
      </c>
      <c r="H75" s="112"/>
    </row>
    <row r="76" spans="1:8" s="84" customFormat="1" ht="28.5" customHeight="1" x14ac:dyDescent="0.25">
      <c r="A76" s="524"/>
      <c r="B76" s="857" t="s">
        <v>1542</v>
      </c>
      <c r="C76" s="465" t="s">
        <v>1546</v>
      </c>
      <c r="D76" s="865">
        <f>G75*100/E75</f>
        <v>-43.474745400441513</v>
      </c>
      <c r="E76" s="112"/>
      <c r="F76" s="576"/>
      <c r="G76" s="26"/>
      <c r="H76" s="112"/>
    </row>
    <row r="77" spans="1:8" s="84" customFormat="1" ht="25.5" customHeight="1" x14ac:dyDescent="0.25">
      <c r="B77" s="578"/>
      <c r="C77" s="578" t="s">
        <v>1181</v>
      </c>
      <c r="D77" s="112"/>
      <c r="E77" s="112"/>
      <c r="F77" s="576"/>
      <c r="G77" s="26"/>
      <c r="H77" s="112"/>
    </row>
    <row r="78" spans="1:8" s="84" customFormat="1" ht="30.75" customHeight="1" x14ac:dyDescent="0.25">
      <c r="A78" s="524"/>
      <c r="B78" s="524">
        <f>'Звіт   9'!D29</f>
        <v>1125</v>
      </c>
      <c r="C78" s="465" t="s">
        <v>709</v>
      </c>
      <c r="D78" s="527">
        <f>'Звіт   9'!K29</f>
        <v>0</v>
      </c>
      <c r="E78" s="112"/>
      <c r="F78" s="576"/>
      <c r="G78" s="26"/>
      <c r="H78" s="112"/>
    </row>
    <row r="79" spans="1:8" s="84" customFormat="1" ht="28.5" customHeight="1" x14ac:dyDescent="0.25">
      <c r="A79" s="524"/>
      <c r="B79" s="524" t="s">
        <v>934</v>
      </c>
      <c r="C79" s="465" t="s">
        <v>1534</v>
      </c>
      <c r="D79" s="527">
        <f>'Звіт   9'!K30</f>
        <v>0</v>
      </c>
      <c r="E79" s="112"/>
      <c r="F79" s="576"/>
      <c r="G79" s="26"/>
      <c r="H79" s="112"/>
    </row>
    <row r="80" spans="1:8" s="84" customFormat="1" ht="41.25" customHeight="1" x14ac:dyDescent="0.25">
      <c r="A80" s="524"/>
      <c r="B80" s="524" t="s">
        <v>1115</v>
      </c>
      <c r="C80" s="591" t="s">
        <v>965</v>
      </c>
      <c r="D80" s="527">
        <f>'Звіт   9'!K38</f>
        <v>0</v>
      </c>
      <c r="E80" s="112"/>
      <c r="F80" s="576"/>
      <c r="G80" s="26"/>
      <c r="H80" s="112"/>
    </row>
    <row r="81" spans="1:8" s="84" customFormat="1" ht="42.75" customHeight="1" x14ac:dyDescent="0.25">
      <c r="A81" s="524"/>
      <c r="B81" s="524" t="s">
        <v>1116</v>
      </c>
      <c r="C81" s="591" t="s">
        <v>966</v>
      </c>
      <c r="D81" s="527">
        <f>'Звіт   9'!K39</f>
        <v>226</v>
      </c>
      <c r="E81" s="112"/>
      <c r="F81" s="576"/>
      <c r="G81" s="26"/>
      <c r="H81" s="112"/>
    </row>
    <row r="82" spans="1:8" s="84" customFormat="1" ht="30" customHeight="1" x14ac:dyDescent="0.25">
      <c r="A82" s="524"/>
      <c r="B82" s="524">
        <f>'Звіт   9'!D40</f>
        <v>1160</v>
      </c>
      <c r="C82" s="591" t="s">
        <v>710</v>
      </c>
      <c r="D82" s="527">
        <f>'Звіт   9'!K40</f>
        <v>0</v>
      </c>
      <c r="E82" s="112"/>
      <c r="F82" s="576"/>
      <c r="G82" s="26"/>
      <c r="H82" s="112"/>
    </row>
    <row r="83" spans="1:8" s="84" customFormat="1" ht="30" customHeight="1" x14ac:dyDescent="0.25">
      <c r="A83" s="524"/>
      <c r="B83" s="524">
        <f>'Звіт   9'!D41</f>
        <v>1165</v>
      </c>
      <c r="C83" s="465" t="s">
        <v>711</v>
      </c>
      <c r="D83" s="527">
        <f>'Звіт   9'!K41</f>
        <v>811.6</v>
      </c>
      <c r="E83" s="112"/>
      <c r="F83" s="576"/>
      <c r="G83" s="26"/>
      <c r="H83" s="112"/>
    </row>
    <row r="84" spans="1:8" s="84" customFormat="1" ht="30" customHeight="1" x14ac:dyDescent="0.25">
      <c r="A84" s="524"/>
      <c r="B84" s="524">
        <v>1400</v>
      </c>
      <c r="C84" s="575" t="s">
        <v>712</v>
      </c>
      <c r="D84" s="527">
        <f>'Звіт   9'!K50</f>
        <v>46007.1</v>
      </c>
      <c r="E84" s="112"/>
      <c r="F84" s="576"/>
      <c r="G84" s="26"/>
      <c r="H84" s="112"/>
    </row>
    <row r="85" spans="1:8" s="84" customFormat="1" ht="34.5" customHeight="1" x14ac:dyDescent="0.25">
      <c r="A85" s="524"/>
      <c r="B85" s="524">
        <v>1420</v>
      </c>
      <c r="C85" s="465" t="s">
        <v>713</v>
      </c>
      <c r="D85" s="527">
        <f>'Звіт   9'!K56</f>
        <v>-5517.2</v>
      </c>
      <c r="E85" s="112"/>
      <c r="F85" s="577"/>
      <c r="G85" s="528"/>
      <c r="H85" s="112"/>
    </row>
    <row r="86" spans="1:8" s="84" customFormat="1" ht="30" customHeight="1" x14ac:dyDescent="0.25">
      <c r="A86" s="524"/>
      <c r="B86" s="524">
        <f>'Звіт   9'!D57</f>
        <v>1425</v>
      </c>
      <c r="C86" s="575" t="s">
        <v>714</v>
      </c>
      <c r="D86" s="527">
        <f>'Звіт   9'!K57</f>
        <v>-21299</v>
      </c>
      <c r="E86" s="112"/>
      <c r="F86" s="576"/>
      <c r="G86" s="26"/>
      <c r="H86" s="112"/>
    </row>
    <row r="87" spans="1:8" s="84" customFormat="1" ht="28.5" customHeight="1" x14ac:dyDescent="0.25">
      <c r="A87" s="524"/>
      <c r="B87" s="524">
        <f>'Звіт   9'!D65</f>
        <v>1525</v>
      </c>
      <c r="C87" s="465" t="s">
        <v>715</v>
      </c>
      <c r="D87" s="527">
        <f>'Звіт   9'!K65</f>
        <v>31241.7</v>
      </c>
      <c r="E87" s="112"/>
      <c r="F87" s="577"/>
      <c r="G87" s="112"/>
      <c r="H87" s="112"/>
    </row>
    <row r="88" spans="1:8" s="84" customFormat="1" ht="39" customHeight="1" x14ac:dyDescent="0.25">
      <c r="A88" s="524"/>
      <c r="B88" s="525" t="s">
        <v>1117</v>
      </c>
      <c r="C88" s="465" t="s">
        <v>1182</v>
      </c>
      <c r="D88" s="527">
        <f>'Звіт   9'!K66</f>
        <v>30445.1</v>
      </c>
      <c r="E88" s="112"/>
      <c r="F88" s="576"/>
      <c r="G88" s="112"/>
      <c r="H88" s="112"/>
    </row>
    <row r="89" spans="1:8" s="84" customFormat="1" ht="45" customHeight="1" x14ac:dyDescent="0.25">
      <c r="A89" s="524"/>
      <c r="B89" s="525" t="s">
        <v>1118</v>
      </c>
      <c r="C89" s="465" t="s">
        <v>1183</v>
      </c>
      <c r="D89" s="527">
        <f>'Звіт   9'!K67</f>
        <v>60.9</v>
      </c>
      <c r="E89" s="112"/>
      <c r="F89" s="576"/>
      <c r="G89" s="112"/>
      <c r="H89" s="112"/>
    </row>
    <row r="90" spans="1:8" s="84" customFormat="1" ht="26.25" customHeight="1" x14ac:dyDescent="0.25">
      <c r="A90" s="524"/>
      <c r="B90" s="525" t="s">
        <v>1119</v>
      </c>
      <c r="C90" s="575" t="s">
        <v>994</v>
      </c>
      <c r="D90" s="527">
        <f>'Звіт   9'!K68</f>
        <v>735.7</v>
      </c>
      <c r="E90" s="112"/>
      <c r="F90" s="576"/>
      <c r="G90" s="112"/>
      <c r="H90" s="112"/>
    </row>
    <row r="91" spans="1:8" s="84" customFormat="1" ht="30" customHeight="1" x14ac:dyDescent="0.25">
      <c r="A91" s="524"/>
      <c r="B91" s="524">
        <f>'Звіт   9'!D77</f>
        <v>1625</v>
      </c>
      <c r="C91" s="465" t="s">
        <v>1184</v>
      </c>
      <c r="D91" s="527">
        <f>'Звіт   9'!K77</f>
        <v>1120.3</v>
      </c>
      <c r="E91" s="112"/>
      <c r="F91" s="529"/>
      <c r="G91" s="112"/>
      <c r="H91" s="112"/>
    </row>
    <row r="92" spans="1:8" s="84" customFormat="1" ht="34.5" customHeight="1" x14ac:dyDescent="0.25">
      <c r="A92" s="524"/>
      <c r="B92" s="524">
        <f>'Звіт   9'!D78</f>
        <v>1630</v>
      </c>
      <c r="C92" s="575" t="s">
        <v>1185</v>
      </c>
      <c r="D92" s="527">
        <f>'Звіт   9'!K78</f>
        <v>4092.3</v>
      </c>
      <c r="E92" s="112"/>
      <c r="F92" s="576"/>
      <c r="G92" s="112"/>
      <c r="H92" s="112"/>
    </row>
    <row r="93" spans="1:8" s="84" customFormat="1" ht="30" customHeight="1" x14ac:dyDescent="0.25">
      <c r="A93" s="524"/>
      <c r="B93" s="524">
        <f>'Звіт   9'!D82</f>
        <v>1635</v>
      </c>
      <c r="C93" s="465" t="s">
        <v>716</v>
      </c>
      <c r="D93" s="527">
        <f>'Звіт   9'!K82</f>
        <v>52.9</v>
      </c>
      <c r="E93" s="112"/>
      <c r="F93" s="112"/>
      <c r="G93" s="112"/>
      <c r="H93" s="112"/>
    </row>
    <row r="94" spans="1:8" s="84" customFormat="1" ht="27" customHeight="1" x14ac:dyDescent="0.25">
      <c r="A94" s="524"/>
      <c r="B94" s="524" t="s">
        <v>1120</v>
      </c>
      <c r="C94" s="465" t="s">
        <v>1009</v>
      </c>
      <c r="D94" s="527">
        <f>'Звіт   9'!K83</f>
        <v>0</v>
      </c>
      <c r="E94" s="112"/>
      <c r="F94" s="112"/>
      <c r="G94" s="112"/>
      <c r="H94" s="112"/>
    </row>
    <row r="95" spans="1:8" s="84" customFormat="1" x14ac:dyDescent="0.25">
      <c r="A95" s="88"/>
      <c r="B95" s="529"/>
      <c r="C95" s="529"/>
      <c r="D95" s="89"/>
      <c r="E95" s="89"/>
      <c r="F95" s="89"/>
      <c r="G95" s="89"/>
      <c r="H95" s="89"/>
    </row>
    <row r="96" spans="1:8" s="84" customFormat="1" x14ac:dyDescent="0.25">
      <c r="A96" s="88"/>
      <c r="B96" s="529"/>
      <c r="C96" s="529"/>
      <c r="D96" s="89"/>
      <c r="E96" s="89"/>
      <c r="F96" s="89"/>
      <c r="G96" s="89"/>
      <c r="H96" s="89"/>
    </row>
    <row r="97" spans="1:8" s="84" customFormat="1" x14ac:dyDescent="0.25">
      <c r="A97" s="88"/>
      <c r="B97" s="529"/>
      <c r="C97" s="529"/>
      <c r="D97" s="89"/>
      <c r="E97" s="89"/>
      <c r="F97" s="89"/>
      <c r="G97" s="89"/>
      <c r="H97" s="89"/>
    </row>
    <row r="98" spans="1:8" s="84" customFormat="1" x14ac:dyDescent="0.25">
      <c r="A98" s="88"/>
      <c r="B98" s="529"/>
      <c r="C98" s="529"/>
      <c r="D98" s="89"/>
      <c r="E98" s="89"/>
      <c r="F98" s="89"/>
      <c r="G98" s="89"/>
      <c r="H98" s="89"/>
    </row>
    <row r="99" spans="1:8" s="84" customFormat="1" x14ac:dyDescent="0.25">
      <c r="A99" s="88"/>
      <c r="B99" s="529"/>
      <c r="C99" s="529"/>
      <c r="D99" s="89"/>
      <c r="E99" s="89"/>
      <c r="F99" s="89"/>
      <c r="G99" s="89"/>
      <c r="H99" s="89"/>
    </row>
    <row r="100" spans="1:8" s="84" customFormat="1" x14ac:dyDescent="0.25">
      <c r="A100" s="88"/>
      <c r="B100" s="529"/>
      <c r="C100" s="529"/>
      <c r="D100" s="89"/>
      <c r="E100" s="89"/>
      <c r="F100" s="89"/>
      <c r="G100" s="89"/>
      <c r="H100" s="89"/>
    </row>
    <row r="101" spans="1:8" s="84" customFormat="1" x14ac:dyDescent="0.25">
      <c r="A101" s="88"/>
      <c r="B101" s="529"/>
      <c r="C101" s="529"/>
      <c r="D101" s="89"/>
      <c r="E101" s="89"/>
      <c r="F101" s="89"/>
      <c r="G101" s="89"/>
      <c r="H101" s="89"/>
    </row>
    <row r="102" spans="1:8" s="84" customFormat="1" x14ac:dyDescent="0.25">
      <c r="A102" s="88"/>
      <c r="B102" s="529"/>
      <c r="C102" s="529"/>
      <c r="D102" s="89"/>
      <c r="E102" s="89"/>
      <c r="F102" s="89"/>
      <c r="G102" s="89"/>
      <c r="H102" s="89"/>
    </row>
    <row r="103" spans="1:8" s="84" customFormat="1" x14ac:dyDescent="0.25">
      <c r="A103" s="88"/>
      <c r="B103" s="529"/>
      <c r="C103" s="529"/>
      <c r="D103" s="89"/>
      <c r="E103" s="89"/>
      <c r="F103" s="89"/>
      <c r="G103" s="89"/>
      <c r="H103" s="89"/>
    </row>
    <row r="104" spans="1:8" s="84" customFormat="1" x14ac:dyDescent="0.25">
      <c r="A104" s="88"/>
      <c r="B104" s="529"/>
      <c r="C104" s="529"/>
      <c r="D104" s="89"/>
      <c r="E104" s="89"/>
      <c r="F104" s="89"/>
      <c r="G104" s="89"/>
      <c r="H104" s="89"/>
    </row>
    <row r="105" spans="1:8" s="84" customFormat="1" x14ac:dyDescent="0.25">
      <c r="A105" s="88"/>
      <c r="B105" s="529"/>
      <c r="C105" s="529"/>
      <c r="D105" s="89"/>
      <c r="E105" s="89"/>
      <c r="F105" s="89"/>
      <c r="G105" s="89"/>
      <c r="H105" s="89"/>
    </row>
    <row r="106" spans="1:8" s="84" customFormat="1" x14ac:dyDescent="0.25">
      <c r="A106" s="88"/>
      <c r="B106" s="529"/>
      <c r="C106" s="529"/>
      <c r="D106" s="89"/>
      <c r="E106" s="89"/>
      <c r="F106" s="89"/>
      <c r="G106" s="89"/>
      <c r="H106" s="89"/>
    </row>
    <row r="107" spans="1:8" s="84" customFormat="1" x14ac:dyDescent="0.25">
      <c r="A107" s="88"/>
      <c r="B107" s="529"/>
      <c r="C107" s="529"/>
      <c r="D107" s="89"/>
      <c r="E107" s="89"/>
      <c r="F107" s="89"/>
      <c r="G107" s="89"/>
      <c r="H107" s="89"/>
    </row>
    <row r="108" spans="1:8" s="84" customFormat="1" x14ac:dyDescent="0.25">
      <c r="A108" s="88"/>
      <c r="B108" s="529"/>
      <c r="C108" s="529"/>
      <c r="D108" s="89"/>
      <c r="E108" s="89"/>
      <c r="F108" s="89"/>
      <c r="G108" s="89"/>
      <c r="H108" s="89"/>
    </row>
    <row r="109" spans="1:8" s="84" customFormat="1" x14ac:dyDescent="0.25">
      <c r="A109" s="88"/>
      <c r="B109" s="529"/>
      <c r="C109" s="529"/>
      <c r="D109" s="89"/>
      <c r="E109" s="89"/>
      <c r="F109" s="89"/>
      <c r="G109" s="89"/>
      <c r="H109" s="89"/>
    </row>
    <row r="110" spans="1:8" s="84" customFormat="1" x14ac:dyDescent="0.25">
      <c r="A110" s="88"/>
      <c r="B110" s="529"/>
      <c r="C110" s="529"/>
      <c r="D110" s="89"/>
      <c r="E110" s="89"/>
      <c r="F110" s="89"/>
      <c r="G110" s="89"/>
      <c r="H110" s="89"/>
    </row>
    <row r="111" spans="1:8" s="84" customFormat="1" x14ac:dyDescent="0.25">
      <c r="A111" s="88"/>
      <c r="B111" s="529"/>
      <c r="C111" s="529"/>
      <c r="D111" s="89"/>
      <c r="E111" s="89"/>
      <c r="F111" s="89"/>
      <c r="G111" s="89"/>
      <c r="H111" s="89"/>
    </row>
    <row r="112" spans="1:8" s="84" customFormat="1" x14ac:dyDescent="0.25">
      <c r="A112" s="88"/>
      <c r="B112" s="529"/>
      <c r="C112" s="529"/>
      <c r="D112" s="89"/>
      <c r="E112" s="89"/>
      <c r="F112" s="89"/>
      <c r="G112" s="89"/>
      <c r="H112" s="89"/>
    </row>
    <row r="113" spans="1:8" s="84" customFormat="1" x14ac:dyDescent="0.25">
      <c r="A113" s="88"/>
      <c r="B113" s="529"/>
      <c r="C113" s="529"/>
      <c r="D113" s="89"/>
      <c r="E113" s="89"/>
      <c r="F113" s="89"/>
      <c r="G113" s="89"/>
      <c r="H113" s="89"/>
    </row>
    <row r="114" spans="1:8" s="84" customFormat="1" x14ac:dyDescent="0.25">
      <c r="A114" s="88"/>
      <c r="B114" s="529"/>
      <c r="C114" s="529"/>
      <c r="D114" s="89"/>
      <c r="E114" s="89"/>
      <c r="F114" s="89"/>
      <c r="G114" s="89"/>
      <c r="H114" s="89"/>
    </row>
    <row r="115" spans="1:8" s="84" customFormat="1" x14ac:dyDescent="0.25">
      <c r="A115" s="88"/>
      <c r="B115" s="529"/>
      <c r="C115" s="529"/>
      <c r="D115" s="89"/>
      <c r="E115" s="89"/>
      <c r="F115" s="89"/>
      <c r="G115" s="89"/>
      <c r="H115" s="89"/>
    </row>
    <row r="116" spans="1:8" s="84" customFormat="1" x14ac:dyDescent="0.25">
      <c r="A116" s="88"/>
      <c r="B116" s="529"/>
      <c r="C116" s="529"/>
      <c r="D116" s="89"/>
      <c r="E116" s="89"/>
      <c r="F116" s="89"/>
      <c r="G116" s="89"/>
      <c r="H116" s="89"/>
    </row>
    <row r="117" spans="1:8" s="84" customFormat="1" x14ac:dyDescent="0.25">
      <c r="A117" s="88"/>
      <c r="B117" s="529"/>
      <c r="C117" s="529"/>
      <c r="D117" s="89"/>
      <c r="E117" s="89"/>
      <c r="F117" s="89"/>
      <c r="G117" s="89"/>
      <c r="H117" s="89"/>
    </row>
    <row r="118" spans="1:8" s="84" customFormat="1" x14ac:dyDescent="0.25">
      <c r="A118" s="88"/>
      <c r="B118" s="529"/>
      <c r="C118" s="529"/>
      <c r="D118" s="89"/>
      <c r="E118" s="89"/>
      <c r="F118" s="89"/>
      <c r="G118" s="89"/>
      <c r="H118" s="89"/>
    </row>
    <row r="119" spans="1:8" s="84" customFormat="1" x14ac:dyDescent="0.25">
      <c r="A119" s="88"/>
      <c r="B119" s="529"/>
      <c r="C119" s="529"/>
      <c r="D119" s="89"/>
      <c r="E119" s="89"/>
      <c r="F119" s="89"/>
      <c r="G119" s="89"/>
      <c r="H119" s="89"/>
    </row>
    <row r="120" spans="1:8" s="84" customFormat="1" x14ac:dyDescent="0.25">
      <c r="A120" s="88"/>
      <c r="B120" s="529"/>
      <c r="C120" s="529"/>
      <c r="D120" s="89"/>
      <c r="E120" s="89"/>
      <c r="F120" s="89"/>
      <c r="G120" s="89"/>
      <c r="H120" s="89"/>
    </row>
    <row r="121" spans="1:8" s="84" customFormat="1" x14ac:dyDescent="0.25">
      <c r="A121" s="88"/>
      <c r="B121" s="529"/>
      <c r="C121" s="529"/>
      <c r="D121" s="89"/>
      <c r="E121" s="89"/>
      <c r="F121" s="89"/>
      <c r="G121" s="89"/>
      <c r="H121" s="89"/>
    </row>
    <row r="122" spans="1:8" s="84" customFormat="1" x14ac:dyDescent="0.25">
      <c r="A122" s="88"/>
      <c r="B122" s="529"/>
      <c r="C122" s="529"/>
      <c r="D122" s="89"/>
      <c r="E122" s="89"/>
      <c r="F122" s="89"/>
      <c r="G122" s="89"/>
      <c r="H122" s="89"/>
    </row>
    <row r="123" spans="1:8" s="84" customFormat="1" x14ac:dyDescent="0.25">
      <c r="A123" s="88"/>
      <c r="B123" s="529"/>
      <c r="C123" s="529"/>
      <c r="D123" s="89"/>
      <c r="E123" s="89"/>
      <c r="F123" s="89"/>
      <c r="G123" s="89"/>
      <c r="H123" s="89"/>
    </row>
    <row r="124" spans="1:8" s="84" customFormat="1" x14ac:dyDescent="0.25">
      <c r="A124" s="88"/>
      <c r="B124" s="529"/>
      <c r="C124" s="529"/>
      <c r="D124" s="89"/>
      <c r="E124" s="89"/>
      <c r="F124" s="89"/>
      <c r="G124" s="89"/>
      <c r="H124" s="89"/>
    </row>
    <row r="125" spans="1:8" s="84" customFormat="1" x14ac:dyDescent="0.25">
      <c r="A125" s="88"/>
      <c r="B125" s="529"/>
      <c r="C125" s="529"/>
      <c r="D125" s="89"/>
      <c r="E125" s="89"/>
      <c r="F125" s="89"/>
      <c r="G125" s="89"/>
      <c r="H125" s="89"/>
    </row>
    <row r="126" spans="1:8" s="84" customFormat="1" x14ac:dyDescent="0.25">
      <c r="A126" s="88"/>
      <c r="B126" s="529"/>
      <c r="C126" s="529"/>
      <c r="D126" s="89"/>
      <c r="E126" s="89"/>
      <c r="F126" s="89"/>
      <c r="G126" s="89"/>
      <c r="H126" s="89"/>
    </row>
    <row r="127" spans="1:8" s="84" customFormat="1" x14ac:dyDescent="0.25">
      <c r="A127" s="88"/>
      <c r="B127" s="529"/>
      <c r="C127" s="529"/>
      <c r="D127" s="89"/>
      <c r="E127" s="89"/>
      <c r="F127" s="89"/>
      <c r="G127" s="89"/>
      <c r="H127" s="89"/>
    </row>
    <row r="128" spans="1:8" s="84" customFormat="1" x14ac:dyDescent="0.25">
      <c r="A128" s="88"/>
      <c r="B128" s="529"/>
      <c r="C128" s="529"/>
      <c r="D128" s="89"/>
      <c r="E128" s="89"/>
      <c r="F128" s="89"/>
      <c r="G128" s="89"/>
      <c r="H128" s="89"/>
    </row>
    <row r="129" spans="1:8" s="84" customFormat="1" x14ac:dyDescent="0.25">
      <c r="A129" s="88"/>
      <c r="B129" s="529"/>
      <c r="C129" s="529"/>
      <c r="D129" s="89"/>
      <c r="E129" s="89"/>
      <c r="F129" s="89"/>
      <c r="G129" s="89"/>
      <c r="H129" s="89"/>
    </row>
    <row r="130" spans="1:8" s="84" customFormat="1" x14ac:dyDescent="0.25">
      <c r="A130" s="88"/>
      <c r="B130" s="529"/>
      <c r="C130" s="529"/>
      <c r="D130" s="89"/>
      <c r="E130" s="89"/>
      <c r="F130" s="89"/>
      <c r="G130" s="89"/>
      <c r="H130" s="89"/>
    </row>
    <row r="131" spans="1:8" s="84" customFormat="1" x14ac:dyDescent="0.25">
      <c r="A131" s="88"/>
      <c r="B131" s="529"/>
      <c r="C131" s="529"/>
      <c r="D131" s="89"/>
      <c r="E131" s="89"/>
      <c r="F131" s="89"/>
      <c r="G131" s="89"/>
      <c r="H131" s="89"/>
    </row>
    <row r="132" spans="1:8" s="84" customFormat="1" x14ac:dyDescent="0.25">
      <c r="A132" s="88"/>
      <c r="B132" s="529"/>
      <c r="C132" s="529"/>
      <c r="D132" s="89"/>
      <c r="E132" s="89"/>
      <c r="F132" s="89"/>
      <c r="G132" s="89"/>
      <c r="H132" s="89"/>
    </row>
    <row r="133" spans="1:8" s="84" customFormat="1" x14ac:dyDescent="0.25">
      <c r="A133" s="88"/>
      <c r="B133" s="529"/>
      <c r="C133" s="529"/>
      <c r="D133" s="89"/>
      <c r="E133" s="89"/>
      <c r="F133" s="89"/>
      <c r="G133" s="89"/>
      <c r="H133" s="89"/>
    </row>
    <row r="134" spans="1:8" s="84" customFormat="1" x14ac:dyDescent="0.25">
      <c r="A134" s="88"/>
      <c r="B134" s="529"/>
      <c r="C134" s="529"/>
      <c r="D134" s="89"/>
      <c r="E134" s="89"/>
      <c r="F134" s="89"/>
      <c r="G134" s="89"/>
      <c r="H134" s="89"/>
    </row>
    <row r="135" spans="1:8" s="84" customFormat="1" x14ac:dyDescent="0.25">
      <c r="A135" s="88"/>
      <c r="B135" s="529"/>
      <c r="C135" s="529"/>
      <c r="D135" s="89"/>
      <c r="E135" s="89"/>
      <c r="F135" s="89"/>
      <c r="G135" s="89"/>
      <c r="H135" s="89"/>
    </row>
    <row r="136" spans="1:8" s="84" customFormat="1" x14ac:dyDescent="0.25">
      <c r="A136" s="88"/>
      <c r="B136" s="529"/>
      <c r="C136" s="529"/>
      <c r="D136" s="89"/>
      <c r="E136" s="89"/>
      <c r="F136" s="89"/>
      <c r="G136" s="89"/>
      <c r="H136" s="89"/>
    </row>
    <row r="137" spans="1:8" s="84" customFormat="1" x14ac:dyDescent="0.25">
      <c r="A137" s="88"/>
      <c r="B137" s="529"/>
      <c r="C137" s="529"/>
      <c r="D137" s="89"/>
      <c r="E137" s="89"/>
      <c r="F137" s="89"/>
      <c r="G137" s="89"/>
      <c r="H137" s="89"/>
    </row>
    <row r="138" spans="1:8" s="84" customFormat="1" x14ac:dyDescent="0.25">
      <c r="A138" s="88"/>
      <c r="B138" s="529"/>
      <c r="C138" s="529"/>
      <c r="D138" s="89"/>
      <c r="E138" s="89"/>
      <c r="F138" s="89"/>
      <c r="G138" s="89"/>
      <c r="H138" s="89"/>
    </row>
    <row r="139" spans="1:8" s="84" customFormat="1" x14ac:dyDescent="0.25">
      <c r="A139" s="88"/>
      <c r="B139" s="529"/>
      <c r="C139" s="529"/>
      <c r="D139" s="89"/>
      <c r="E139" s="89"/>
      <c r="F139" s="89"/>
      <c r="G139" s="89"/>
      <c r="H139" s="89"/>
    </row>
    <row r="140" spans="1:8" s="84" customFormat="1" x14ac:dyDescent="0.25">
      <c r="A140" s="88"/>
      <c r="B140" s="529"/>
      <c r="C140" s="529"/>
      <c r="D140" s="89"/>
      <c r="E140" s="89"/>
      <c r="F140" s="89"/>
      <c r="G140" s="89"/>
      <c r="H140" s="89"/>
    </row>
    <row r="141" spans="1:8" s="84" customFormat="1" x14ac:dyDescent="0.25">
      <c r="A141" s="88"/>
      <c r="B141" s="529"/>
      <c r="C141" s="529"/>
      <c r="D141" s="89"/>
      <c r="E141" s="89"/>
      <c r="F141" s="89"/>
      <c r="G141" s="89"/>
      <c r="H141" s="89"/>
    </row>
    <row r="142" spans="1:8" s="84" customFormat="1" x14ac:dyDescent="0.25">
      <c r="A142" s="88"/>
      <c r="B142" s="529"/>
      <c r="C142" s="529"/>
      <c r="D142" s="89"/>
      <c r="E142" s="89"/>
      <c r="F142" s="89"/>
      <c r="G142" s="89"/>
      <c r="H142" s="89"/>
    </row>
    <row r="143" spans="1:8" s="84" customFormat="1" x14ac:dyDescent="0.25">
      <c r="A143" s="88"/>
      <c r="B143" s="529"/>
      <c r="C143" s="529"/>
      <c r="D143" s="89"/>
      <c r="E143" s="89"/>
      <c r="F143" s="89"/>
      <c r="G143" s="89"/>
      <c r="H143" s="89"/>
    </row>
    <row r="144" spans="1:8" s="84" customFormat="1" x14ac:dyDescent="0.25">
      <c r="A144" s="88"/>
      <c r="B144" s="529"/>
      <c r="C144" s="529"/>
      <c r="D144" s="89"/>
      <c r="E144" s="89"/>
      <c r="F144" s="89"/>
      <c r="G144" s="89"/>
      <c r="H144" s="89"/>
    </row>
    <row r="145" spans="1:8" s="84" customFormat="1" x14ac:dyDescent="0.25">
      <c r="A145" s="88"/>
      <c r="B145" s="529"/>
      <c r="C145" s="529"/>
      <c r="D145" s="89"/>
      <c r="E145" s="89"/>
      <c r="F145" s="89"/>
      <c r="G145" s="89"/>
      <c r="H145" s="89"/>
    </row>
    <row r="146" spans="1:8" s="84" customFormat="1" x14ac:dyDescent="0.25">
      <c r="A146" s="88"/>
      <c r="B146" s="529"/>
      <c r="C146" s="529"/>
      <c r="D146" s="89"/>
      <c r="E146" s="89"/>
      <c r="F146" s="89"/>
      <c r="G146" s="89"/>
      <c r="H146" s="89"/>
    </row>
    <row r="147" spans="1:8" s="84" customFormat="1" x14ac:dyDescent="0.25">
      <c r="A147" s="88"/>
      <c r="B147" s="529"/>
      <c r="C147" s="529"/>
      <c r="D147" s="89"/>
      <c r="E147" s="89"/>
      <c r="F147" s="89"/>
      <c r="G147" s="89"/>
      <c r="H147" s="89"/>
    </row>
    <row r="148" spans="1:8" s="84" customFormat="1" x14ac:dyDescent="0.25">
      <c r="A148" s="88"/>
      <c r="B148" s="529"/>
      <c r="C148" s="529"/>
      <c r="D148" s="89"/>
      <c r="E148" s="89"/>
      <c r="F148" s="89"/>
      <c r="G148" s="89"/>
      <c r="H148" s="89"/>
    </row>
    <row r="149" spans="1:8" s="84" customFormat="1" x14ac:dyDescent="0.25">
      <c r="A149" s="88"/>
      <c r="B149" s="529"/>
      <c r="C149" s="529"/>
      <c r="D149" s="89"/>
      <c r="E149" s="89"/>
      <c r="F149" s="89"/>
      <c r="G149" s="89"/>
      <c r="H149" s="89"/>
    </row>
    <row r="150" spans="1:8" s="84" customFormat="1" x14ac:dyDescent="0.25">
      <c r="A150" s="88"/>
      <c r="B150" s="529"/>
      <c r="C150" s="529"/>
      <c r="D150" s="89"/>
      <c r="E150" s="89"/>
      <c r="F150" s="89"/>
      <c r="G150" s="89"/>
      <c r="H150" s="89"/>
    </row>
    <row r="151" spans="1:8" s="84" customFormat="1" x14ac:dyDescent="0.25">
      <c r="A151" s="88"/>
      <c r="B151" s="529"/>
      <c r="C151" s="529"/>
      <c r="D151" s="89"/>
      <c r="E151" s="89"/>
      <c r="F151" s="89"/>
      <c r="G151" s="89"/>
      <c r="H151" s="89"/>
    </row>
    <row r="152" spans="1:8" s="84" customFormat="1" x14ac:dyDescent="0.25">
      <c r="A152" s="88"/>
      <c r="B152" s="529"/>
      <c r="C152" s="529"/>
      <c r="D152" s="89"/>
      <c r="E152" s="89"/>
      <c r="F152" s="89"/>
      <c r="G152" s="89"/>
      <c r="H152" s="89"/>
    </row>
    <row r="153" spans="1:8" s="84" customFormat="1" x14ac:dyDescent="0.25">
      <c r="A153" s="88"/>
      <c r="B153" s="529"/>
      <c r="C153" s="529"/>
      <c r="D153" s="89"/>
      <c r="E153" s="89"/>
      <c r="F153" s="89"/>
      <c r="G153" s="89"/>
      <c r="H153" s="89"/>
    </row>
    <row r="154" spans="1:8" s="84" customFormat="1" x14ac:dyDescent="0.25">
      <c r="A154" s="88"/>
      <c r="B154" s="529"/>
      <c r="C154" s="529"/>
      <c r="D154" s="89"/>
      <c r="E154" s="89"/>
      <c r="F154" s="89"/>
      <c r="G154" s="89"/>
      <c r="H154" s="89"/>
    </row>
    <row r="155" spans="1:8" s="84" customFormat="1" x14ac:dyDescent="0.25">
      <c r="A155" s="88"/>
      <c r="B155" s="529"/>
      <c r="C155" s="529"/>
      <c r="D155" s="89"/>
      <c r="E155" s="89"/>
      <c r="F155" s="89"/>
      <c r="G155" s="89"/>
      <c r="H155" s="89"/>
    </row>
    <row r="156" spans="1:8" s="84" customFormat="1" x14ac:dyDescent="0.25">
      <c r="A156" s="88"/>
      <c r="B156" s="529"/>
      <c r="C156" s="529"/>
      <c r="D156" s="89"/>
      <c r="E156" s="89"/>
      <c r="F156" s="89"/>
      <c r="G156" s="89"/>
      <c r="H156" s="89"/>
    </row>
    <row r="157" spans="1:8" s="84" customFormat="1" x14ac:dyDescent="0.25">
      <c r="A157" s="88"/>
      <c r="B157" s="529"/>
      <c r="C157" s="529"/>
      <c r="D157" s="89"/>
      <c r="E157" s="89"/>
      <c r="F157" s="89"/>
      <c r="G157" s="89"/>
      <c r="H157" s="89"/>
    </row>
    <row r="158" spans="1:8" s="84" customFormat="1" x14ac:dyDescent="0.25">
      <c r="A158" s="88"/>
      <c r="B158" s="529"/>
      <c r="C158" s="529"/>
      <c r="D158" s="89"/>
      <c r="E158" s="89"/>
      <c r="F158" s="89"/>
      <c r="G158" s="89"/>
      <c r="H158" s="89"/>
    </row>
    <row r="159" spans="1:8" s="84" customFormat="1" x14ac:dyDescent="0.25">
      <c r="A159" s="88"/>
      <c r="B159" s="529"/>
      <c r="C159" s="529"/>
      <c r="D159" s="89"/>
      <c r="E159" s="89"/>
      <c r="F159" s="89"/>
      <c r="G159" s="89"/>
      <c r="H159" s="89"/>
    </row>
    <row r="160" spans="1:8" s="84" customFormat="1" x14ac:dyDescent="0.25">
      <c r="A160" s="88"/>
      <c r="B160" s="529"/>
      <c r="C160" s="529"/>
      <c r="D160" s="89"/>
      <c r="E160" s="89"/>
      <c r="F160" s="89"/>
      <c r="G160" s="89"/>
      <c r="H160" s="89"/>
    </row>
    <row r="161" spans="1:8" s="84" customFormat="1" x14ac:dyDescent="0.25">
      <c r="A161" s="88"/>
      <c r="B161" s="529"/>
      <c r="C161" s="529"/>
      <c r="D161" s="89"/>
      <c r="E161" s="89"/>
      <c r="F161" s="89"/>
      <c r="G161" s="89"/>
      <c r="H161" s="89"/>
    </row>
    <row r="162" spans="1:8" s="84" customFormat="1" x14ac:dyDescent="0.25">
      <c r="A162" s="88"/>
      <c r="B162" s="529"/>
      <c r="C162" s="529"/>
      <c r="D162" s="89"/>
      <c r="E162" s="89"/>
      <c r="F162" s="89"/>
      <c r="G162" s="89"/>
      <c r="H162" s="89"/>
    </row>
    <row r="163" spans="1:8" s="84" customFormat="1" x14ac:dyDescent="0.25">
      <c r="A163" s="88"/>
      <c r="B163" s="529"/>
      <c r="C163" s="529"/>
      <c r="D163" s="89"/>
      <c r="E163" s="89"/>
      <c r="F163" s="89"/>
      <c r="G163" s="89"/>
      <c r="H163" s="89"/>
    </row>
    <row r="164" spans="1:8" s="84" customFormat="1" x14ac:dyDescent="0.25">
      <c r="A164" s="88"/>
      <c r="B164" s="529"/>
      <c r="C164" s="529"/>
      <c r="D164" s="89"/>
      <c r="E164" s="89"/>
      <c r="F164" s="89"/>
      <c r="G164" s="89"/>
      <c r="H164" s="89"/>
    </row>
    <row r="165" spans="1:8" s="84" customFormat="1" x14ac:dyDescent="0.25">
      <c r="A165" s="88"/>
      <c r="B165" s="529"/>
      <c r="C165" s="529"/>
      <c r="D165" s="89"/>
      <c r="E165" s="89"/>
      <c r="F165" s="89"/>
      <c r="G165" s="89"/>
      <c r="H165" s="89"/>
    </row>
    <row r="166" spans="1:8" s="84" customFormat="1" x14ac:dyDescent="0.25">
      <c r="A166" s="88"/>
      <c r="B166" s="529"/>
      <c r="C166" s="529"/>
      <c r="D166" s="89"/>
      <c r="E166" s="89"/>
      <c r="F166" s="89"/>
      <c r="G166" s="89"/>
      <c r="H166" s="89"/>
    </row>
    <row r="167" spans="1:8" s="84" customFormat="1" x14ac:dyDescent="0.25">
      <c r="A167" s="88"/>
      <c r="B167" s="529"/>
      <c r="C167" s="529"/>
      <c r="D167" s="89"/>
      <c r="E167" s="89"/>
      <c r="F167" s="89"/>
      <c r="G167" s="89"/>
      <c r="H167" s="89"/>
    </row>
    <row r="168" spans="1:8" s="84" customFormat="1" x14ac:dyDescent="0.25">
      <c r="A168" s="88"/>
      <c r="B168" s="529"/>
      <c r="C168" s="529"/>
      <c r="D168" s="89"/>
      <c r="E168" s="89"/>
      <c r="F168" s="89"/>
      <c r="G168" s="89"/>
      <c r="H168" s="89"/>
    </row>
    <row r="169" spans="1:8" s="84" customFormat="1" x14ac:dyDescent="0.25">
      <c r="A169" s="88"/>
      <c r="B169" s="529"/>
      <c r="C169" s="529"/>
      <c r="D169" s="89"/>
      <c r="E169" s="89"/>
      <c r="F169" s="89"/>
      <c r="G169" s="89"/>
      <c r="H169" s="89"/>
    </row>
    <row r="170" spans="1:8" s="84" customFormat="1" x14ac:dyDescent="0.25">
      <c r="A170" s="88"/>
      <c r="B170" s="529"/>
      <c r="C170" s="529"/>
      <c r="D170" s="89"/>
      <c r="E170" s="89"/>
      <c r="F170" s="89"/>
      <c r="G170" s="89"/>
      <c r="H170" s="89"/>
    </row>
    <row r="171" spans="1:8" s="84" customFormat="1" x14ac:dyDescent="0.25">
      <c r="A171" s="88"/>
      <c r="B171" s="529"/>
      <c r="C171" s="529"/>
      <c r="D171" s="89"/>
      <c r="E171" s="89"/>
      <c r="F171" s="89"/>
      <c r="G171" s="89"/>
      <c r="H171" s="89"/>
    </row>
    <row r="172" spans="1:8" s="84" customFormat="1" x14ac:dyDescent="0.25">
      <c r="A172" s="88"/>
      <c r="B172" s="529"/>
      <c r="C172" s="529"/>
      <c r="D172" s="89"/>
      <c r="E172" s="89"/>
      <c r="F172" s="89"/>
      <c r="G172" s="89"/>
      <c r="H172" s="89"/>
    </row>
    <row r="173" spans="1:8" s="84" customFormat="1" x14ac:dyDescent="0.25">
      <c r="A173" s="88"/>
      <c r="B173" s="529"/>
      <c r="C173" s="529"/>
      <c r="D173" s="89"/>
      <c r="E173" s="89"/>
      <c r="F173" s="89"/>
      <c r="G173" s="89"/>
      <c r="H173" s="89"/>
    </row>
    <row r="174" spans="1:8" s="84" customFormat="1" x14ac:dyDescent="0.25">
      <c r="A174" s="88"/>
      <c r="B174" s="529"/>
      <c r="C174" s="529"/>
      <c r="D174" s="89"/>
      <c r="E174" s="89"/>
      <c r="F174" s="89"/>
      <c r="G174" s="89"/>
      <c r="H174" s="89"/>
    </row>
    <row r="175" spans="1:8" s="84" customFormat="1" x14ac:dyDescent="0.25">
      <c r="A175" s="88"/>
      <c r="B175" s="529"/>
      <c r="C175" s="529"/>
      <c r="D175" s="89"/>
      <c r="E175" s="89"/>
      <c r="F175" s="89"/>
      <c r="G175" s="89"/>
      <c r="H175" s="89"/>
    </row>
    <row r="176" spans="1:8" s="84" customFormat="1" x14ac:dyDescent="0.25">
      <c r="A176" s="88"/>
      <c r="B176" s="529"/>
      <c r="C176" s="529"/>
      <c r="D176" s="89"/>
      <c r="E176" s="89"/>
      <c r="F176" s="89"/>
      <c r="G176" s="89"/>
      <c r="H176" s="89"/>
    </row>
    <row r="177" spans="1:8" s="84" customFormat="1" x14ac:dyDescent="0.25">
      <c r="A177" s="88"/>
      <c r="B177" s="529"/>
      <c r="C177" s="529"/>
      <c r="D177" s="89"/>
      <c r="E177" s="89"/>
      <c r="F177" s="89"/>
      <c r="G177" s="89"/>
      <c r="H177" s="89"/>
    </row>
    <row r="178" spans="1:8" s="84" customFormat="1" x14ac:dyDescent="0.25">
      <c r="A178" s="88"/>
      <c r="B178" s="529"/>
      <c r="C178" s="529"/>
      <c r="D178" s="89"/>
      <c r="E178" s="89"/>
      <c r="F178" s="89"/>
      <c r="G178" s="89"/>
      <c r="H178" s="89"/>
    </row>
    <row r="179" spans="1:8" s="84" customFormat="1" x14ac:dyDescent="0.25">
      <c r="A179" s="88"/>
      <c r="B179" s="529"/>
      <c r="C179" s="529"/>
      <c r="D179" s="89"/>
      <c r="E179" s="89"/>
      <c r="F179" s="89"/>
      <c r="G179" s="89"/>
      <c r="H179" s="89"/>
    </row>
    <row r="180" spans="1:8" s="84" customFormat="1" x14ac:dyDescent="0.25">
      <c r="A180" s="88"/>
      <c r="B180" s="529"/>
      <c r="C180" s="529"/>
      <c r="D180" s="89"/>
      <c r="E180" s="89"/>
      <c r="F180" s="89"/>
      <c r="G180" s="89"/>
      <c r="H180" s="89"/>
    </row>
    <row r="181" spans="1:8" s="84" customFormat="1" x14ac:dyDescent="0.25">
      <c r="A181" s="88"/>
      <c r="B181" s="529"/>
      <c r="C181" s="529"/>
      <c r="D181" s="89"/>
      <c r="E181" s="89"/>
      <c r="F181" s="89"/>
      <c r="G181" s="89"/>
      <c r="H181" s="89"/>
    </row>
    <row r="182" spans="1:8" s="84" customFormat="1" x14ac:dyDescent="0.25">
      <c r="A182" s="88"/>
      <c r="B182" s="529"/>
      <c r="C182" s="529"/>
      <c r="D182" s="89"/>
      <c r="E182" s="89"/>
      <c r="F182" s="89"/>
      <c r="G182" s="89"/>
      <c r="H182" s="89"/>
    </row>
    <row r="183" spans="1:8" s="84" customFormat="1" x14ac:dyDescent="0.25">
      <c r="A183" s="88"/>
      <c r="B183" s="529"/>
      <c r="C183" s="529"/>
      <c r="D183" s="89"/>
      <c r="E183" s="89"/>
      <c r="F183" s="89"/>
      <c r="G183" s="89"/>
      <c r="H183" s="89"/>
    </row>
    <row r="184" spans="1:8" s="84" customFormat="1" x14ac:dyDescent="0.25">
      <c r="A184" s="88"/>
      <c r="B184" s="529"/>
      <c r="C184" s="529"/>
      <c r="D184" s="89"/>
      <c r="E184" s="89"/>
      <c r="F184" s="89"/>
      <c r="G184" s="89"/>
      <c r="H184" s="89"/>
    </row>
    <row r="185" spans="1:8" s="84" customFormat="1" x14ac:dyDescent="0.25">
      <c r="A185" s="88"/>
      <c r="B185" s="529"/>
      <c r="C185" s="529"/>
      <c r="D185" s="89"/>
      <c r="E185" s="89"/>
      <c r="F185" s="89"/>
      <c r="G185" s="89"/>
      <c r="H185" s="89"/>
    </row>
    <row r="186" spans="1:8" s="84" customFormat="1" x14ac:dyDescent="0.25">
      <c r="A186" s="88"/>
      <c r="B186" s="529"/>
      <c r="C186" s="529"/>
      <c r="D186" s="89"/>
      <c r="E186" s="89"/>
      <c r="F186" s="89"/>
      <c r="G186" s="89"/>
      <c r="H186" s="89"/>
    </row>
    <row r="187" spans="1:8" s="84" customFormat="1" x14ac:dyDescent="0.25">
      <c r="A187" s="88"/>
      <c r="B187" s="529"/>
      <c r="C187" s="529"/>
      <c r="D187" s="89"/>
      <c r="E187" s="89"/>
      <c r="F187" s="89"/>
      <c r="G187" s="89"/>
      <c r="H187" s="89"/>
    </row>
    <row r="188" spans="1:8" s="84" customFormat="1" x14ac:dyDescent="0.25">
      <c r="A188" s="88"/>
      <c r="B188" s="529"/>
      <c r="C188" s="529"/>
      <c r="D188" s="89"/>
      <c r="E188" s="89"/>
      <c r="F188" s="89"/>
      <c r="G188" s="89"/>
      <c r="H188" s="89"/>
    </row>
    <row r="189" spans="1:8" s="84" customFormat="1" x14ac:dyDescent="0.25">
      <c r="A189" s="88"/>
      <c r="B189" s="529"/>
      <c r="C189" s="529"/>
      <c r="D189" s="89"/>
      <c r="E189" s="89"/>
      <c r="F189" s="89"/>
      <c r="G189" s="89"/>
      <c r="H189" s="89"/>
    </row>
    <row r="190" spans="1:8" s="84" customFormat="1" x14ac:dyDescent="0.25">
      <c r="A190" s="88"/>
      <c r="B190" s="529"/>
      <c r="C190" s="529"/>
      <c r="D190" s="89"/>
      <c r="E190" s="89"/>
      <c r="F190" s="89"/>
      <c r="G190" s="89"/>
      <c r="H190" s="89"/>
    </row>
    <row r="191" spans="1:8" s="84" customFormat="1" x14ac:dyDescent="0.25">
      <c r="A191" s="88"/>
      <c r="B191" s="529"/>
      <c r="C191" s="529"/>
      <c r="D191" s="89"/>
      <c r="E191" s="89"/>
      <c r="F191" s="89"/>
      <c r="G191" s="89"/>
      <c r="H191" s="89"/>
    </row>
    <row r="192" spans="1:8" s="84" customFormat="1" x14ac:dyDescent="0.25">
      <c r="A192" s="88"/>
      <c r="B192" s="529"/>
      <c r="C192" s="529"/>
      <c r="D192" s="89"/>
      <c r="E192" s="89"/>
      <c r="F192" s="89"/>
      <c r="G192" s="89"/>
      <c r="H192" s="89"/>
    </row>
    <row r="193" spans="1:8" s="84" customFormat="1" x14ac:dyDescent="0.25">
      <c r="A193" s="88"/>
      <c r="B193" s="529"/>
      <c r="C193" s="529"/>
      <c r="D193" s="89"/>
      <c r="E193" s="89"/>
      <c r="F193" s="89"/>
      <c r="G193" s="89"/>
      <c r="H193" s="89"/>
    </row>
    <row r="194" spans="1:8" s="84" customFormat="1" x14ac:dyDescent="0.25">
      <c r="A194" s="88"/>
      <c r="B194" s="529"/>
      <c r="C194" s="529"/>
      <c r="D194" s="89"/>
      <c r="E194" s="89"/>
      <c r="F194" s="89"/>
      <c r="G194" s="89"/>
      <c r="H194" s="89"/>
    </row>
    <row r="195" spans="1:8" s="84" customFormat="1" x14ac:dyDescent="0.25">
      <c r="A195" s="88"/>
      <c r="B195" s="529"/>
      <c r="C195" s="529"/>
      <c r="D195" s="89"/>
      <c r="E195" s="89"/>
      <c r="F195" s="89"/>
      <c r="G195" s="89"/>
      <c r="H195" s="89"/>
    </row>
    <row r="196" spans="1:8" s="84" customFormat="1" x14ac:dyDescent="0.25">
      <c r="A196" s="88"/>
      <c r="B196" s="529"/>
      <c r="C196" s="529"/>
      <c r="D196" s="89"/>
      <c r="E196" s="89"/>
      <c r="F196" s="89"/>
      <c r="G196" s="89"/>
      <c r="H196" s="89"/>
    </row>
    <row r="197" spans="1:8" s="84" customFormat="1" x14ac:dyDescent="0.25">
      <c r="A197" s="88"/>
      <c r="B197" s="529"/>
      <c r="C197" s="529"/>
      <c r="D197" s="89"/>
      <c r="E197" s="89"/>
      <c r="F197" s="89"/>
      <c r="G197" s="89"/>
      <c r="H197" s="89"/>
    </row>
    <row r="198" spans="1:8" s="84" customFormat="1" x14ac:dyDescent="0.25">
      <c r="A198" s="88"/>
      <c r="B198" s="529"/>
      <c r="C198" s="529"/>
      <c r="D198" s="89"/>
      <c r="E198" s="89"/>
      <c r="F198" s="89"/>
      <c r="G198" s="89"/>
      <c r="H198" s="89"/>
    </row>
    <row r="199" spans="1:8" s="84" customFormat="1" x14ac:dyDescent="0.25">
      <c r="A199" s="88"/>
      <c r="B199" s="529"/>
      <c r="C199" s="529"/>
      <c r="D199" s="89"/>
      <c r="E199" s="89"/>
      <c r="F199" s="89"/>
      <c r="G199" s="89"/>
      <c r="H199" s="89"/>
    </row>
    <row r="200" spans="1:8" s="84" customFormat="1" x14ac:dyDescent="0.25">
      <c r="A200" s="88"/>
      <c r="B200" s="529"/>
      <c r="C200" s="529"/>
      <c r="D200" s="89"/>
      <c r="E200" s="89"/>
      <c r="F200" s="89"/>
      <c r="G200" s="89"/>
      <c r="H200" s="89"/>
    </row>
    <row r="201" spans="1:8" s="84" customFormat="1" x14ac:dyDescent="0.25">
      <c r="A201" s="88"/>
      <c r="B201" s="529"/>
      <c r="C201" s="529"/>
      <c r="D201" s="89"/>
      <c r="E201" s="89"/>
      <c r="F201" s="89"/>
      <c r="G201" s="89"/>
      <c r="H201" s="89"/>
    </row>
    <row r="202" spans="1:8" s="84" customFormat="1" x14ac:dyDescent="0.25">
      <c r="A202" s="88"/>
      <c r="B202" s="529"/>
      <c r="C202" s="529"/>
      <c r="D202" s="89"/>
      <c r="E202" s="89"/>
      <c r="F202" s="89"/>
      <c r="G202" s="89"/>
      <c r="H202" s="89"/>
    </row>
    <row r="203" spans="1:8" s="84" customFormat="1" x14ac:dyDescent="0.25">
      <c r="A203" s="88"/>
      <c r="B203" s="529"/>
      <c r="C203" s="529"/>
      <c r="D203" s="89"/>
      <c r="E203" s="89"/>
      <c r="F203" s="89"/>
      <c r="G203" s="89"/>
      <c r="H203" s="89"/>
    </row>
    <row r="204" spans="1:8" s="84" customFormat="1" x14ac:dyDescent="0.25">
      <c r="A204" s="88"/>
      <c r="B204" s="529"/>
      <c r="C204" s="529"/>
      <c r="D204" s="89"/>
      <c r="E204" s="89"/>
      <c r="F204" s="89"/>
      <c r="G204" s="89"/>
      <c r="H204" s="89"/>
    </row>
    <row r="205" spans="1:8" s="84" customFormat="1" x14ac:dyDescent="0.25">
      <c r="A205" s="88"/>
      <c r="B205" s="529"/>
      <c r="C205" s="529"/>
      <c r="D205" s="89"/>
      <c r="E205" s="89"/>
      <c r="F205" s="89"/>
      <c r="G205" s="89"/>
      <c r="H205" s="89"/>
    </row>
    <row r="206" spans="1:8" s="84" customFormat="1" x14ac:dyDescent="0.25">
      <c r="A206" s="88"/>
      <c r="B206" s="529"/>
      <c r="C206" s="529"/>
      <c r="D206" s="89"/>
      <c r="E206" s="89"/>
      <c r="F206" s="89"/>
      <c r="G206" s="89"/>
      <c r="H206" s="89"/>
    </row>
    <row r="207" spans="1:8" s="84" customFormat="1" x14ac:dyDescent="0.25">
      <c r="A207" s="88"/>
      <c r="B207" s="529"/>
      <c r="C207" s="529"/>
      <c r="D207" s="89"/>
      <c r="E207" s="89"/>
      <c r="F207" s="89"/>
      <c r="G207" s="89"/>
      <c r="H207" s="89"/>
    </row>
    <row r="208" spans="1:8" s="84" customFormat="1" x14ac:dyDescent="0.25">
      <c r="A208" s="88"/>
      <c r="B208" s="529"/>
      <c r="C208" s="529"/>
      <c r="D208" s="89"/>
      <c r="E208" s="89"/>
      <c r="F208" s="89"/>
      <c r="G208" s="89"/>
      <c r="H208" s="89"/>
    </row>
    <row r="209" spans="1:8" s="84" customFormat="1" x14ac:dyDescent="0.25">
      <c r="A209" s="88"/>
      <c r="B209" s="529"/>
      <c r="C209" s="529"/>
      <c r="D209" s="89"/>
      <c r="E209" s="89"/>
      <c r="F209" s="89"/>
      <c r="G209" s="89"/>
      <c r="H209" s="89"/>
    </row>
    <row r="210" spans="1:8" s="84" customFormat="1" x14ac:dyDescent="0.25">
      <c r="A210" s="88"/>
      <c r="B210" s="529"/>
      <c r="C210" s="529"/>
      <c r="D210" s="89"/>
      <c r="E210" s="89"/>
      <c r="F210" s="89"/>
      <c r="G210" s="89"/>
      <c r="H210" s="89"/>
    </row>
    <row r="211" spans="1:8" s="84" customFormat="1" x14ac:dyDescent="0.25">
      <c r="A211" s="88"/>
      <c r="B211" s="529"/>
      <c r="C211" s="529"/>
      <c r="D211" s="89"/>
      <c r="E211" s="89"/>
      <c r="F211" s="89"/>
      <c r="G211" s="89"/>
      <c r="H211" s="89"/>
    </row>
    <row r="212" spans="1:8" s="84" customFormat="1" x14ac:dyDescent="0.25">
      <c r="A212" s="88"/>
      <c r="B212" s="529"/>
      <c r="C212" s="529"/>
      <c r="D212" s="89"/>
      <c r="E212" s="89"/>
      <c r="F212" s="89"/>
      <c r="G212" s="89"/>
      <c r="H212" s="89"/>
    </row>
    <row r="213" spans="1:8" s="84" customFormat="1" x14ac:dyDescent="0.25">
      <c r="A213" s="88"/>
      <c r="B213" s="529"/>
      <c r="C213" s="529"/>
      <c r="D213" s="89"/>
      <c r="E213" s="89"/>
      <c r="F213" s="89"/>
      <c r="G213" s="89"/>
      <c r="H213" s="89"/>
    </row>
    <row r="214" spans="1:8" s="84" customFormat="1" x14ac:dyDescent="0.25">
      <c r="A214" s="88"/>
      <c r="B214" s="529"/>
      <c r="C214" s="529"/>
      <c r="D214" s="89"/>
      <c r="E214" s="89"/>
      <c r="F214" s="89"/>
      <c r="G214" s="89"/>
      <c r="H214" s="89"/>
    </row>
    <row r="215" spans="1:8" s="84" customFormat="1" x14ac:dyDescent="0.25">
      <c r="A215" s="88"/>
      <c r="B215" s="529"/>
      <c r="C215" s="529"/>
      <c r="D215" s="89"/>
      <c r="E215" s="89"/>
      <c r="F215" s="89"/>
      <c r="G215" s="89"/>
      <c r="H215" s="89"/>
    </row>
    <row r="216" spans="1:8" s="84" customFormat="1" x14ac:dyDescent="0.25">
      <c r="A216" s="88"/>
      <c r="B216" s="529"/>
      <c r="C216" s="529"/>
      <c r="D216" s="89"/>
      <c r="E216" s="89"/>
      <c r="F216" s="89"/>
      <c r="G216" s="89"/>
      <c r="H216" s="89"/>
    </row>
    <row r="217" spans="1:8" s="84" customFormat="1" x14ac:dyDescent="0.25">
      <c r="A217" s="88"/>
      <c r="B217" s="529"/>
      <c r="C217" s="529"/>
      <c r="D217" s="89"/>
      <c r="E217" s="89"/>
      <c r="F217" s="89"/>
      <c r="G217" s="89"/>
      <c r="H217" s="89"/>
    </row>
    <row r="218" spans="1:8" s="84" customFormat="1" x14ac:dyDescent="0.25">
      <c r="A218" s="88"/>
      <c r="B218" s="529"/>
      <c r="C218" s="529"/>
      <c r="D218" s="89"/>
      <c r="E218" s="89"/>
      <c r="F218" s="89"/>
      <c r="G218" s="89"/>
      <c r="H218" s="89"/>
    </row>
    <row r="219" spans="1:8" s="84" customFormat="1" x14ac:dyDescent="0.25">
      <c r="A219" s="88"/>
      <c r="B219" s="529"/>
      <c r="C219" s="529"/>
      <c r="D219" s="89"/>
      <c r="E219" s="89"/>
      <c r="F219" s="89"/>
      <c r="G219" s="89"/>
      <c r="H219" s="89"/>
    </row>
    <row r="220" spans="1:8" s="84" customFormat="1" x14ac:dyDescent="0.25">
      <c r="A220" s="88"/>
      <c r="B220" s="529"/>
      <c r="C220" s="529"/>
      <c r="D220" s="89"/>
      <c r="E220" s="89"/>
      <c r="F220" s="89"/>
      <c r="G220" s="89"/>
      <c r="H220" s="89"/>
    </row>
    <row r="221" spans="1:8" s="84" customFormat="1" x14ac:dyDescent="0.25">
      <c r="A221" s="88"/>
      <c r="B221" s="529"/>
      <c r="C221" s="529"/>
      <c r="D221" s="89"/>
      <c r="E221" s="89"/>
      <c r="F221" s="89"/>
      <c r="G221" s="89"/>
      <c r="H221" s="89"/>
    </row>
    <row r="222" spans="1:8" s="84" customFormat="1" x14ac:dyDescent="0.25">
      <c r="A222" s="88"/>
      <c r="B222" s="529"/>
      <c r="C222" s="529"/>
      <c r="D222" s="89"/>
      <c r="E222" s="89"/>
      <c r="F222" s="89"/>
      <c r="G222" s="89"/>
      <c r="H222" s="89"/>
    </row>
    <row r="223" spans="1:8" s="84" customFormat="1" x14ac:dyDescent="0.25">
      <c r="A223" s="88"/>
      <c r="B223" s="529"/>
      <c r="C223" s="529"/>
      <c r="D223" s="89"/>
      <c r="E223" s="89"/>
      <c r="F223" s="89"/>
      <c r="G223" s="89"/>
      <c r="H223" s="89"/>
    </row>
    <row r="224" spans="1:8" s="84" customFormat="1" x14ac:dyDescent="0.25">
      <c r="A224" s="88"/>
      <c r="B224" s="529"/>
      <c r="C224" s="529"/>
      <c r="D224" s="89"/>
      <c r="E224" s="89"/>
      <c r="F224" s="89"/>
      <c r="G224" s="89"/>
      <c r="H224" s="89"/>
    </row>
    <row r="225" spans="1:8" s="84" customFormat="1" x14ac:dyDescent="0.25">
      <c r="A225" s="88"/>
      <c r="B225" s="529"/>
      <c r="C225" s="529"/>
      <c r="D225" s="89"/>
      <c r="E225" s="89"/>
      <c r="F225" s="89"/>
      <c r="G225" s="89"/>
      <c r="H225" s="89"/>
    </row>
    <row r="226" spans="1:8" s="84" customFormat="1" x14ac:dyDescent="0.25">
      <c r="A226" s="88"/>
      <c r="B226" s="529"/>
      <c r="C226" s="529"/>
      <c r="D226" s="89"/>
      <c r="E226" s="89"/>
      <c r="F226" s="89"/>
      <c r="G226" s="89"/>
      <c r="H226" s="89"/>
    </row>
    <row r="227" spans="1:8" s="84" customFormat="1" x14ac:dyDescent="0.25">
      <c r="A227" s="88"/>
      <c r="B227" s="529"/>
      <c r="C227" s="529"/>
      <c r="D227" s="89"/>
      <c r="E227" s="89"/>
      <c r="F227" s="89"/>
      <c r="G227" s="89"/>
      <c r="H227" s="89"/>
    </row>
    <row r="228" spans="1:8" s="84" customFormat="1" x14ac:dyDescent="0.25">
      <c r="A228" s="88"/>
      <c r="B228" s="529"/>
      <c r="C228" s="529"/>
      <c r="D228" s="89"/>
      <c r="E228" s="89"/>
      <c r="F228" s="89"/>
      <c r="G228" s="89"/>
      <c r="H228" s="89"/>
    </row>
    <row r="229" spans="1:8" s="84" customFormat="1" x14ac:dyDescent="0.25">
      <c r="A229" s="88"/>
      <c r="B229" s="529"/>
      <c r="C229" s="529"/>
      <c r="D229" s="89"/>
      <c r="E229" s="89"/>
      <c r="F229" s="89"/>
      <c r="G229" s="89"/>
      <c r="H229" s="89"/>
    </row>
    <row r="230" spans="1:8" s="84" customFormat="1" x14ac:dyDescent="0.25">
      <c r="A230" s="88"/>
      <c r="B230" s="529"/>
      <c r="C230" s="529"/>
      <c r="D230" s="89"/>
      <c r="E230" s="89"/>
      <c r="F230" s="89"/>
      <c r="G230" s="89"/>
      <c r="H230" s="89"/>
    </row>
    <row r="231" spans="1:8" s="84" customFormat="1" x14ac:dyDescent="0.25">
      <c r="A231" s="88"/>
      <c r="B231" s="530"/>
      <c r="C231" s="530"/>
      <c r="D231" s="4"/>
      <c r="E231" s="4"/>
      <c r="F231" s="4"/>
      <c r="G231" s="4"/>
      <c r="H231" s="4"/>
    </row>
    <row r="232" spans="1:8" s="84" customFormat="1" x14ac:dyDescent="0.25">
      <c r="A232" s="88"/>
      <c r="B232" s="530"/>
      <c r="C232" s="530"/>
      <c r="D232" s="4"/>
      <c r="E232" s="4"/>
      <c r="F232" s="4"/>
      <c r="G232" s="4"/>
      <c r="H232" s="4"/>
    </row>
    <row r="233" spans="1:8" s="84" customFormat="1" x14ac:dyDescent="0.25">
      <c r="A233" s="88"/>
      <c r="B233" s="530"/>
      <c r="C233" s="530"/>
      <c r="D233" s="4"/>
      <c r="E233" s="4"/>
      <c r="F233" s="4"/>
      <c r="G233" s="4"/>
      <c r="H233" s="4"/>
    </row>
    <row r="234" spans="1:8" s="84" customFormat="1" x14ac:dyDescent="0.25">
      <c r="A234" s="88"/>
      <c r="B234" s="530"/>
      <c r="C234" s="530"/>
      <c r="D234" s="4"/>
      <c r="E234" s="4"/>
      <c r="F234" s="4"/>
      <c r="G234" s="4"/>
      <c r="H234" s="4"/>
    </row>
    <row r="235" spans="1:8" s="84" customFormat="1" x14ac:dyDescent="0.25">
      <c r="A235" s="88"/>
      <c r="B235" s="530"/>
      <c r="C235" s="530"/>
      <c r="D235" s="4"/>
      <c r="E235" s="4"/>
      <c r="F235" s="4"/>
      <c r="G235" s="4"/>
      <c r="H235" s="4"/>
    </row>
  </sheetData>
  <sheetProtection formatCells="0" formatColumns="0" formatRows="0"/>
  <autoFilter ref="A3:H3"/>
  <mergeCells count="5">
    <mergeCell ref="B1:G1"/>
    <mergeCell ref="A2:A3"/>
    <mergeCell ref="B2:B3"/>
    <mergeCell ref="D2:D3"/>
    <mergeCell ref="E2:G2"/>
  </mergeCells>
  <conditionalFormatting sqref="D34 F34:H40 D32:H33 D35:E40 D41:H68">
    <cfRule type="cellIs" dxfId="0" priority="2" operator="lessThan">
      <formula>0</formula>
    </cfRule>
  </conditionalFormatting>
  <pageMargins left="0" right="7.874015748031496E-2" top="0.19685039370078741" bottom="0" header="0.39370078740157483" footer="0"/>
  <pageSetup paperSize="9" scale="40" orientation="landscape" r:id="rId1"/>
  <headerFooter alignWithMargins="0">
    <oddFooter>&amp;RСтор.  &amp;P</oddFooter>
  </headerFooter>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7"/>
  <dimension ref="A1:I88"/>
  <sheetViews>
    <sheetView topLeftCell="B64" zoomScale="60" zoomScaleNormal="60" workbookViewId="0">
      <selection activeCell="G32" sqref="G32:M34"/>
    </sheetView>
  </sheetViews>
  <sheetFormatPr defaultRowHeight="18.75" x14ac:dyDescent="0.3"/>
  <cols>
    <col min="1" max="1" width="0" hidden="1" customWidth="1"/>
    <col min="2" max="2" width="10.28515625" customWidth="1"/>
    <col min="3" max="3" width="24.5703125" style="703" customWidth="1"/>
    <col min="4" max="4" width="106" style="272" customWidth="1"/>
    <col min="5" max="5" width="16.140625" style="696" customWidth="1"/>
    <col min="6" max="6" width="18.5703125" style="696" customWidth="1"/>
    <col min="7" max="7" width="16.28515625" style="696" customWidth="1"/>
    <col min="8" max="8" width="20.42578125" style="696" customWidth="1"/>
    <col min="9" max="9" width="23.7109375" style="696" customWidth="1"/>
  </cols>
  <sheetData>
    <row r="1" spans="1:9" s="122" customFormat="1" ht="24" customHeight="1" x14ac:dyDescent="0.3">
      <c r="A1" s="676"/>
      <c r="B1" s="676"/>
      <c r="C1" s="677"/>
      <c r="D1" s="678" t="s">
        <v>1263</v>
      </c>
      <c r="E1" s="676"/>
      <c r="F1" s="676"/>
      <c r="G1" s="676"/>
      <c r="H1" s="676"/>
      <c r="I1" s="676"/>
    </row>
    <row r="2" spans="1:9" s="122" customFormat="1" ht="39" customHeight="1" x14ac:dyDescent="0.3">
      <c r="C2" s="677"/>
      <c r="D2" s="678" t="s">
        <v>1870</v>
      </c>
      <c r="E2" s="2002"/>
      <c r="F2" s="2002"/>
      <c r="G2" s="2002"/>
      <c r="H2" s="2002"/>
      <c r="I2" s="679"/>
    </row>
    <row r="3" spans="1:9" ht="60.6" customHeight="1" x14ac:dyDescent="0.3">
      <c r="A3" s="680" t="s">
        <v>1264</v>
      </c>
      <c r="B3" s="681"/>
      <c r="C3" s="35" t="s">
        <v>1265</v>
      </c>
      <c r="D3" s="373" t="s">
        <v>1266</v>
      </c>
      <c r="E3" s="682" t="s">
        <v>1267</v>
      </c>
      <c r="F3" s="683" t="s">
        <v>1268</v>
      </c>
      <c r="G3" s="684" t="s">
        <v>1269</v>
      </c>
      <c r="H3" s="685" t="s">
        <v>1270</v>
      </c>
      <c r="I3" s="686" t="s">
        <v>1271</v>
      </c>
    </row>
    <row r="4" spans="1:9" ht="48" customHeight="1" x14ac:dyDescent="0.35">
      <c r="A4" s="680"/>
      <c r="B4" s="680"/>
      <c r="C4" s="687"/>
      <c r="D4" s="373" t="str">
        <f>Валідація!C5</f>
        <v>Перевірка на наявність ЄДРПОУ та інших даних, розташованих на вкладках "Звіт 1,2,3" та "Звіт 9"</v>
      </c>
      <c r="E4" s="690" t="s">
        <v>1272</v>
      </c>
      <c r="F4" s="690" t="s">
        <v>1272</v>
      </c>
      <c r="G4" s="688"/>
      <c r="H4" s="688"/>
      <c r="I4" s="691">
        <v>0</v>
      </c>
    </row>
    <row r="5" spans="1:9" ht="30" customHeight="1" x14ac:dyDescent="0.35">
      <c r="A5" s="689"/>
      <c r="B5" s="688"/>
      <c r="C5" s="35">
        <v>1</v>
      </c>
      <c r="D5" s="641" t="s">
        <v>360</v>
      </c>
      <c r="E5" s="690" t="s">
        <v>1272</v>
      </c>
      <c r="F5" s="690" t="s">
        <v>1272</v>
      </c>
      <c r="G5" s="688"/>
      <c r="H5" s="688"/>
      <c r="I5" s="691">
        <v>1</v>
      </c>
    </row>
    <row r="6" spans="1:9" s="695" customFormat="1" ht="48" customHeight="1" x14ac:dyDescent="0.35">
      <c r="A6" s="689"/>
      <c r="B6" s="688"/>
      <c r="C6" s="692" t="s">
        <v>89</v>
      </c>
      <c r="D6" s="693" t="s">
        <v>385</v>
      </c>
      <c r="E6" s="690" t="s">
        <v>1272</v>
      </c>
      <c r="F6" s="690" t="s">
        <v>1272</v>
      </c>
      <c r="G6" s="690" t="s">
        <v>1272</v>
      </c>
      <c r="H6" s="688"/>
      <c r="I6" s="694">
        <v>2</v>
      </c>
    </row>
    <row r="7" spans="1:9" ht="46.9" customHeight="1" x14ac:dyDescent="0.3">
      <c r="A7" s="689"/>
      <c r="B7" s="688"/>
      <c r="C7" s="35">
        <v>2</v>
      </c>
      <c r="D7" s="641" t="s">
        <v>1273</v>
      </c>
      <c r="E7" s="690" t="s">
        <v>1272</v>
      </c>
      <c r="F7" s="690" t="s">
        <v>1272</v>
      </c>
      <c r="G7" s="690"/>
      <c r="H7" s="688"/>
      <c r="I7" s="690">
        <v>11</v>
      </c>
    </row>
    <row r="8" spans="1:9" ht="45.6" customHeight="1" x14ac:dyDescent="0.3">
      <c r="A8" s="689"/>
      <c r="B8" s="688"/>
      <c r="C8" s="35">
        <v>3</v>
      </c>
      <c r="D8" s="693" t="s">
        <v>1274</v>
      </c>
      <c r="E8" s="690" t="s">
        <v>1272</v>
      </c>
      <c r="F8" s="718" t="s">
        <v>1272</v>
      </c>
      <c r="G8" s="690"/>
      <c r="H8" s="688"/>
      <c r="I8" s="690">
        <v>12</v>
      </c>
    </row>
    <row r="9" spans="1:9" s="695" customFormat="1" ht="48" customHeight="1" x14ac:dyDescent="0.3">
      <c r="A9" s="689"/>
      <c r="B9" s="688"/>
      <c r="C9" s="35" t="s">
        <v>694</v>
      </c>
      <c r="D9" s="693" t="s">
        <v>1275</v>
      </c>
      <c r="E9" s="690" t="s">
        <v>1272</v>
      </c>
      <c r="F9" s="718" t="s">
        <v>1272</v>
      </c>
      <c r="G9" s="690"/>
      <c r="H9" s="688"/>
      <c r="I9" s="690">
        <v>13</v>
      </c>
    </row>
    <row r="10" spans="1:9" s="695" customFormat="1" ht="35.25" customHeight="1" x14ac:dyDescent="0.35">
      <c r="A10" s="689"/>
      <c r="B10" s="697"/>
      <c r="C10" s="698" t="s">
        <v>690</v>
      </c>
      <c r="D10" s="1496" t="s">
        <v>1493</v>
      </c>
      <c r="E10" s="699" t="s">
        <v>1272</v>
      </c>
      <c r="F10" s="699" t="s">
        <v>1272</v>
      </c>
      <c r="G10" s="699"/>
      <c r="H10" s="697"/>
      <c r="I10" s="700">
        <v>3</v>
      </c>
    </row>
    <row r="11" spans="1:9" ht="112.5" customHeight="1" x14ac:dyDescent="0.3">
      <c r="A11" s="689"/>
      <c r="B11" s="688"/>
      <c r="C11" s="35">
        <v>4</v>
      </c>
      <c r="D11" s="641" t="s">
        <v>777</v>
      </c>
      <c r="E11" s="718" t="b">
        <v>1</v>
      </c>
      <c r="F11" s="718" t="b">
        <v>1</v>
      </c>
      <c r="G11" s="690"/>
      <c r="H11" s="688"/>
      <c r="I11" s="690">
        <v>14</v>
      </c>
    </row>
    <row r="12" spans="1:9" ht="45.6" customHeight="1" x14ac:dyDescent="0.3">
      <c r="A12" s="689"/>
      <c r="B12" s="688"/>
      <c r="C12" s="35">
        <v>5</v>
      </c>
      <c r="D12" s="641" t="s">
        <v>1276</v>
      </c>
      <c r="E12" s="718" t="b">
        <v>1</v>
      </c>
      <c r="F12" s="718" t="b">
        <v>1</v>
      </c>
      <c r="G12" s="690"/>
      <c r="H12" s="688"/>
      <c r="I12" s="690">
        <v>15</v>
      </c>
    </row>
    <row r="13" spans="1:9" ht="48.6" customHeight="1" x14ac:dyDescent="0.3">
      <c r="A13" s="689"/>
      <c r="B13" s="688"/>
      <c r="C13" s="35">
        <v>6</v>
      </c>
      <c r="D13" s="641" t="s">
        <v>352</v>
      </c>
      <c r="E13" s="690" t="b">
        <v>1</v>
      </c>
      <c r="F13" s="690" t="b">
        <v>1</v>
      </c>
      <c r="G13" s="690"/>
      <c r="H13" s="688"/>
      <c r="I13" s="690">
        <v>16</v>
      </c>
    </row>
    <row r="14" spans="1:9" ht="85.5" customHeight="1" x14ac:dyDescent="0.35">
      <c r="A14" s="689"/>
      <c r="B14" s="688"/>
      <c r="C14" s="35">
        <v>14</v>
      </c>
      <c r="D14" s="886" t="str">
        <f>Валідація!C42</f>
        <v>Фінансовий результат без амортизації
Доходи без доходів від амортизації - витрати (таблиця 5 виробнича собівартість готової продукції та товарів + витрати таблиця 5.1. без амортизації) &gt;= 0</v>
      </c>
      <c r="E14" s="1497" t="s">
        <v>689</v>
      </c>
      <c r="F14" s="1497" t="s">
        <v>689</v>
      </c>
      <c r="G14" s="688"/>
      <c r="H14" s="688"/>
      <c r="I14" s="702">
        <v>4</v>
      </c>
    </row>
    <row r="15" spans="1:9" ht="87" customHeight="1" x14ac:dyDescent="0.35">
      <c r="A15" s="689"/>
      <c r="B15" s="688"/>
      <c r="C15" s="35" t="s">
        <v>1572</v>
      </c>
      <c r="D15" s="893" t="str">
        <f>Валідація!C44</f>
        <v xml:space="preserve">Покриття витрат без амортизації
Доходи без доходів від амортизації з авансами ПМГ - витрати (таблиця 5 виробнича собівартість готової продукції та товарів + витрати таблиця 5.1. без амортизації) &gt;= 0  </v>
      </c>
      <c r="E15" s="1497" t="s">
        <v>689</v>
      </c>
      <c r="F15" s="1497" t="s">
        <v>689</v>
      </c>
      <c r="G15" s="688"/>
      <c r="H15" s="688"/>
      <c r="I15" s="702"/>
    </row>
    <row r="16" spans="1:9" ht="81" customHeight="1" x14ac:dyDescent="0.3">
      <c r="A16" s="689"/>
      <c r="B16" s="688"/>
      <c r="C16" s="35">
        <v>15</v>
      </c>
      <c r="D16" s="886" t="str">
        <f>Валідація!C46</f>
        <v>Фінансовий результат
Доходи - витрати (таблиця 5 виробнича собівартість готової продукції та товарів + витрати таблиця 5.1. з амортизацією) &gt;= 0</v>
      </c>
      <c r="E16" s="1497" t="s">
        <v>689</v>
      </c>
      <c r="F16" s="1497" t="s">
        <v>689</v>
      </c>
      <c r="G16" s="688"/>
      <c r="H16" s="688"/>
      <c r="I16" s="690">
        <v>10</v>
      </c>
    </row>
    <row r="17" spans="1:9" ht="75.75" customHeight="1" x14ac:dyDescent="0.3">
      <c r="A17" s="676"/>
      <c r="B17" s="688"/>
      <c r="C17" s="35" t="s">
        <v>1573</v>
      </c>
      <c r="D17" s="893" t="str">
        <f>Валідація!C48</f>
        <v xml:space="preserve">Покриття витрат з амортизацією
Доходи +  аванси ПМГ + коригування прибутку з дооцінки  - витрати (таблиця 5 виробнича собівартість готової продукції та товарів + витрати таблиця 5.1. з амортизацією)) &gt;= 0  </v>
      </c>
      <c r="E17" s="1497" t="s">
        <v>689</v>
      </c>
      <c r="F17" s="1497" t="s">
        <v>689</v>
      </c>
      <c r="G17" s="712"/>
      <c r="H17" s="712"/>
      <c r="I17" s="718"/>
    </row>
    <row r="18" spans="1:9" ht="38.25" customHeight="1" thickBot="1" x14ac:dyDescent="0.35"/>
    <row r="19" spans="1:9" ht="30.6" customHeight="1" x14ac:dyDescent="0.3">
      <c r="A19" s="676"/>
      <c r="B19" s="704"/>
      <c r="C19" s="705" t="s">
        <v>695</v>
      </c>
      <c r="D19" s="706" t="s">
        <v>703</v>
      </c>
      <c r="E19" s="707" t="s">
        <v>1667</v>
      </c>
      <c r="F19" s="1521" t="s">
        <v>1844</v>
      </c>
      <c r="G19" s="1521" t="s">
        <v>1844</v>
      </c>
      <c r="H19" s="708"/>
      <c r="I19" s="709"/>
    </row>
    <row r="20" spans="1:9" s="695" customFormat="1" ht="84.75" customHeight="1" x14ac:dyDescent="0.3">
      <c r="A20" s="701"/>
      <c r="B20" s="710"/>
      <c r="C20" s="35" t="s">
        <v>696</v>
      </c>
      <c r="D20" s="32" t="str">
        <f>Валідація!C25</f>
        <v>1. Надходження ПМГ &gt; 0;  
3.Цільове фінансування за рахунок коштів бюджетів усіх рівнів має бути відображено у таблиці 1 Надходження 
3. Перевірка, обороти бюджету
Баланс СдП 377 +Дт 37 -Баланс СдК 377 = Кт 37</v>
      </c>
      <c r="E20" s="690" t="s">
        <v>1272</v>
      </c>
      <c r="F20" s="690" t="s">
        <v>1272</v>
      </c>
      <c r="G20" s="690" t="s">
        <v>1272</v>
      </c>
      <c r="H20" s="688"/>
      <c r="I20" s="711">
        <v>17</v>
      </c>
    </row>
    <row r="21" spans="1:9" ht="97.5" customHeight="1" x14ac:dyDescent="0.3">
      <c r="A21" s="676"/>
      <c r="B21" s="716"/>
      <c r="C21" s="35">
        <v>7</v>
      </c>
      <c r="D21" s="32" t="str">
        <f>Валідація!C26</f>
        <v xml:space="preserve">Сума цільових надходжень у натуральній формі  може дорівнювати або бути більше на 20%, ніж сума відповідних оприбуткованих ТМЦ + КАПінвестиції 
Сума надходжень благодійної допомоги у натуральній формі може дорівнювати або бути більше на 20%, ніж сума  відповідних оприбуткованих ТМЦ + КАПінвестиції + дохід від безоплатно наданої послуги </v>
      </c>
      <c r="E21" s="718" t="s">
        <v>1272</v>
      </c>
      <c r="F21" s="718" t="s">
        <v>1272</v>
      </c>
      <c r="G21" s="718" t="s">
        <v>1272</v>
      </c>
      <c r="H21" s="712"/>
      <c r="I21" s="718">
        <v>18</v>
      </c>
    </row>
    <row r="22" spans="1:9" ht="69" customHeight="1" x14ac:dyDescent="0.3">
      <c r="A22" s="676"/>
      <c r="B22" s="716"/>
      <c r="C22" s="35">
        <v>8</v>
      </c>
      <c r="D22" s="32" t="str">
        <f>Валідація!C28</f>
        <v xml:space="preserve">Сума цільових надходжень (грошові кошти) всього  &gt;= відповідні придбання ТМЦ + КАПінвестиції </v>
      </c>
      <c r="E22" s="718" t="s">
        <v>1272</v>
      </c>
      <c r="F22" s="718" t="s">
        <v>1272</v>
      </c>
      <c r="G22" s="718" t="s">
        <v>1272</v>
      </c>
      <c r="H22" s="712"/>
      <c r="I22" s="718">
        <v>19</v>
      </c>
    </row>
    <row r="23" spans="1:9" s="695" customFormat="1" ht="67.5" customHeight="1" thickBot="1" x14ac:dyDescent="0.35">
      <c r="A23" s="713"/>
      <c r="B23" s="714"/>
      <c r="C23" s="919" t="s">
        <v>1099</v>
      </c>
      <c r="D23" s="920" t="str">
        <f>Валідація!C31</f>
        <v xml:space="preserve">
Якщо є заборгованість з цільового фінансування на початок періоду, то має бути погашення заборгованості бюджету з цільового фінансування  (Дт 31 Кт 37 ПЗБЦФ) </v>
      </c>
      <c r="E23" s="768" t="b">
        <v>1</v>
      </c>
      <c r="F23" s="1520" t="s">
        <v>689</v>
      </c>
      <c r="G23" s="1520" t="s">
        <v>689</v>
      </c>
      <c r="H23" s="769"/>
      <c r="I23" s="921">
        <v>21</v>
      </c>
    </row>
    <row r="24" spans="1:9" s="695" customFormat="1" ht="60" customHeight="1" thickBot="1" x14ac:dyDescent="0.35">
      <c r="A24" s="713"/>
      <c r="B24" s="1444"/>
      <c r="C24" s="1445" t="s">
        <v>1665</v>
      </c>
      <c r="D24" s="1446" t="str">
        <f>Валідація!C33</f>
        <v>Співвідношення надходжень (таблиця 1) та відповідних доходів (таблиця 4)</v>
      </c>
      <c r="E24" s="1438" t="b">
        <v>1</v>
      </c>
      <c r="F24" s="1438" t="s">
        <v>1272</v>
      </c>
      <c r="G24" s="1438" t="s">
        <v>1272</v>
      </c>
      <c r="H24" s="1447"/>
      <c r="I24" s="1448" t="s">
        <v>1666</v>
      </c>
    </row>
    <row r="25" spans="1:9" s="695" customFormat="1" ht="52.15" customHeight="1" x14ac:dyDescent="0.3">
      <c r="A25" s="713"/>
      <c r="B25" s="922"/>
      <c r="C25" s="927" t="s">
        <v>1277</v>
      </c>
      <c r="D25" s="755" t="s">
        <v>704</v>
      </c>
      <c r="E25" s="932" t="s">
        <v>1592</v>
      </c>
      <c r="F25" s="932" t="s">
        <v>1278</v>
      </c>
      <c r="G25" s="932" t="s">
        <v>1278</v>
      </c>
      <c r="H25" s="772"/>
      <c r="I25" s="928"/>
    </row>
    <row r="26" spans="1:9" s="695" customFormat="1" ht="144" customHeight="1" x14ac:dyDescent="0.3">
      <c r="A26" s="713"/>
      <c r="B26" s="923"/>
      <c r="C26" s="342">
        <v>12</v>
      </c>
      <c r="D26" s="32" t="str">
        <f>Валідація!C37</f>
        <v xml:space="preserve">1. Дохід за програмою медичних гарантій  &gt; 0
2. Роботи та послуги (таблиця 4) мають бути рівними або більше, ніж дохід за програмою медичних гарантій;
3. Вирахування з доходу має бути не більше, ніж повернення залишку коштів по 33 пакету (33 пакет - комірка заблокована);
4. Валідація іншого неопераційного та операційного доходів
</v>
      </c>
      <c r="E26" s="690" t="s">
        <v>1272</v>
      </c>
      <c r="F26" s="690" t="s">
        <v>1272</v>
      </c>
      <c r="G26" s="690" t="s">
        <v>1272</v>
      </c>
      <c r="H26" s="688"/>
      <c r="I26" s="711">
        <v>22</v>
      </c>
    </row>
    <row r="27" spans="1:9" ht="102" customHeight="1" x14ac:dyDescent="0.3">
      <c r="A27" s="713"/>
      <c r="B27" s="924"/>
      <c r="C27" s="342">
        <v>13</v>
      </c>
      <c r="D27" s="32" t="str">
        <f>Валідація!C40</f>
        <v xml:space="preserve">1. Дохід від реалізації робіт та послуг,  всього &gt;= дохід від реалізації послуг (з додатка Доходи ПМГ)
2. Якщо є дохід від реалізації готової продукції або товарів, то має бути відповідно виробнича собівартість готової продукції  або товарів
</v>
      </c>
      <c r="E27" s="690" t="s">
        <v>1272</v>
      </c>
      <c r="F27" s="690" t="s">
        <v>1272</v>
      </c>
      <c r="G27" s="690" t="s">
        <v>1272</v>
      </c>
      <c r="H27" s="688"/>
      <c r="I27" s="711">
        <v>23</v>
      </c>
    </row>
    <row r="28" spans="1:9" ht="27" customHeight="1" x14ac:dyDescent="0.3">
      <c r="A28" s="676"/>
      <c r="B28" s="925"/>
      <c r="C28" s="342">
        <v>16</v>
      </c>
      <c r="D28" s="893" t="s">
        <v>1279</v>
      </c>
      <c r="E28" s="718" t="s">
        <v>1272</v>
      </c>
      <c r="F28" s="690" t="s">
        <v>1272</v>
      </c>
      <c r="G28" s="690" t="s">
        <v>1272</v>
      </c>
      <c r="H28" s="688"/>
      <c r="I28" s="711">
        <v>24</v>
      </c>
    </row>
    <row r="29" spans="1:9" ht="54.75" customHeight="1" thickBot="1" x14ac:dyDescent="0.35">
      <c r="A29" s="676"/>
      <c r="B29" s="926"/>
      <c r="C29" s="868">
        <v>17</v>
      </c>
      <c r="D29" s="892" t="s">
        <v>358</v>
      </c>
      <c r="E29" s="758" t="b">
        <v>1</v>
      </c>
      <c r="F29" s="758"/>
      <c r="G29" s="754"/>
      <c r="H29" s="754"/>
      <c r="I29" s="715">
        <v>25</v>
      </c>
    </row>
    <row r="30" spans="1:9" ht="82.5" customHeight="1" thickBot="1" x14ac:dyDescent="0.35">
      <c r="A30" s="676"/>
      <c r="B30" s="720"/>
      <c r="C30" s="721">
        <v>18</v>
      </c>
      <c r="D30" s="890" t="str">
        <f>Валідація!C55</f>
        <v>Якщо є оприбуткування та/або витрати за статтею "Кров та її компоненти", то мають бути заповнені відповідні дані у таблиці Кров та/або її компоненти (вкладка Звіт 7,8)</v>
      </c>
      <c r="E30" s="722" t="s">
        <v>1272</v>
      </c>
      <c r="F30" s="722" t="s">
        <v>1272</v>
      </c>
      <c r="G30" s="722"/>
      <c r="H30" s="723"/>
      <c r="I30" s="724">
        <v>26</v>
      </c>
    </row>
    <row r="31" spans="1:9" ht="40.9" customHeight="1" x14ac:dyDescent="0.3">
      <c r="B31" s="725"/>
      <c r="C31" s="726"/>
      <c r="D31" s="727" t="s">
        <v>702</v>
      </c>
      <c r="E31" s="728" t="s">
        <v>1280</v>
      </c>
      <c r="F31" s="728" t="s">
        <v>1280</v>
      </c>
      <c r="G31" s="729"/>
      <c r="H31" s="729"/>
      <c r="I31" s="730"/>
    </row>
    <row r="32" spans="1:9" ht="25.15" customHeight="1" x14ac:dyDescent="0.3">
      <c r="B32" s="731"/>
      <c r="C32" s="35" t="s">
        <v>691</v>
      </c>
      <c r="D32" s="693" t="s">
        <v>511</v>
      </c>
      <c r="E32" s="690" t="s">
        <v>1272</v>
      </c>
      <c r="F32" s="690" t="s">
        <v>1272</v>
      </c>
      <c r="G32" s="688"/>
      <c r="H32" s="688" t="s">
        <v>336</v>
      </c>
      <c r="I32" s="711">
        <v>6</v>
      </c>
    </row>
    <row r="33" spans="1:9" ht="79.5" customHeight="1" x14ac:dyDescent="0.3">
      <c r="B33" s="731"/>
      <c r="C33" s="35">
        <v>32</v>
      </c>
      <c r="D33" s="641" t="s">
        <v>1281</v>
      </c>
      <c r="E33" s="690" t="s">
        <v>1272</v>
      </c>
      <c r="F33" s="690" t="s">
        <v>1272</v>
      </c>
      <c r="G33" s="688"/>
      <c r="H33" s="688"/>
      <c r="I33" s="711">
        <v>7</v>
      </c>
    </row>
    <row r="34" spans="1:9" ht="48" customHeight="1" x14ac:dyDescent="0.3">
      <c r="A34" s="676"/>
      <c r="B34" s="716"/>
      <c r="C34" s="759" t="s">
        <v>692</v>
      </c>
      <c r="D34" s="639" t="s">
        <v>1282</v>
      </c>
      <c r="E34" s="760" t="s">
        <v>1272</v>
      </c>
      <c r="F34" s="760" t="s">
        <v>1272</v>
      </c>
      <c r="G34" s="760"/>
      <c r="H34" s="761"/>
      <c r="I34" s="762" t="s">
        <v>707</v>
      </c>
    </row>
    <row r="35" spans="1:9" ht="48" customHeight="1" x14ac:dyDescent="0.3">
      <c r="A35" s="676"/>
      <c r="B35" s="716"/>
      <c r="C35" s="759" t="s">
        <v>693</v>
      </c>
      <c r="D35" s="639" t="s">
        <v>1283</v>
      </c>
      <c r="E35" s="760" t="s">
        <v>1272</v>
      </c>
      <c r="F35" s="760" t="s">
        <v>1272</v>
      </c>
      <c r="G35" s="760"/>
      <c r="H35" s="761"/>
      <c r="I35" s="762" t="s">
        <v>708</v>
      </c>
    </row>
    <row r="36" spans="1:9" ht="126" customHeight="1" x14ac:dyDescent="0.3">
      <c r="B36" s="731"/>
      <c r="C36" s="35">
        <v>33</v>
      </c>
      <c r="D36" s="641" t="s">
        <v>1284</v>
      </c>
      <c r="E36" s="690" t="s">
        <v>1272</v>
      </c>
      <c r="F36" s="690" t="s">
        <v>1272</v>
      </c>
      <c r="G36" s="688"/>
      <c r="H36" s="688"/>
      <c r="I36" s="711">
        <v>8</v>
      </c>
    </row>
    <row r="37" spans="1:9" s="695" customFormat="1" ht="60" customHeight="1" x14ac:dyDescent="0.3">
      <c r="B37" s="732"/>
      <c r="C37" s="373">
        <v>34</v>
      </c>
      <c r="D37" s="693" t="s">
        <v>1613</v>
      </c>
      <c r="E37" s="690" t="s">
        <v>1272</v>
      </c>
      <c r="F37" s="690" t="s">
        <v>1272</v>
      </c>
      <c r="G37" s="712"/>
      <c r="H37" s="733"/>
      <c r="I37" s="711">
        <v>9</v>
      </c>
    </row>
    <row r="38" spans="1:9" ht="43.5" customHeight="1" thickBot="1" x14ac:dyDescent="0.4">
      <c r="B38" s="732"/>
      <c r="C38" s="763">
        <v>35</v>
      </c>
      <c r="D38" s="641" t="s">
        <v>1614</v>
      </c>
      <c r="E38" s="718" t="b">
        <v>1</v>
      </c>
      <c r="F38" s="718" t="b">
        <v>1</v>
      </c>
      <c r="G38" s="733"/>
      <c r="H38" s="733"/>
      <c r="I38" s="764">
        <v>5</v>
      </c>
    </row>
    <row r="39" spans="1:9" s="695" customFormat="1" ht="28.9" customHeight="1" thickBot="1" x14ac:dyDescent="0.35">
      <c r="B39" s="734"/>
      <c r="C39" s="735"/>
      <c r="D39" s="736" t="s">
        <v>1285</v>
      </c>
      <c r="E39" s="737" t="s">
        <v>1746</v>
      </c>
      <c r="F39" s="737" t="s">
        <v>1747</v>
      </c>
      <c r="G39" s="737" t="s">
        <v>1591</v>
      </c>
      <c r="H39" s="738"/>
      <c r="I39" s="739">
        <v>28</v>
      </c>
    </row>
    <row r="40" spans="1:9" s="695" customFormat="1" ht="94.9" customHeight="1" thickBot="1" x14ac:dyDescent="0.35">
      <c r="B40" s="716"/>
      <c r="C40" s="765" t="s">
        <v>697</v>
      </c>
      <c r="D40" s="1442" t="str">
        <f>Валідація!C64</f>
        <v>Вілідація  411, 424, 69 (ЦФ)
СдП та СдК у таблицях 10, 11 та Балансі
Дт та Кт у таблицях 10 та 11
Якщо у Балансі є статутний капітал (відповідно до статуту складається з НА), то у таблиці 10  має бути первісна вартість ННМА та ОЗ в графі "статутний капітал"
Залишкова вартість ННМА та ОЗ не може бути менше нуля
Якщо у році зменшено статутний та неоплачений капітал, то має бути заповнена таблиця 10.1.</v>
      </c>
      <c r="E40" s="766" t="s">
        <v>1272</v>
      </c>
      <c r="F40" s="766" t="s">
        <v>1272</v>
      </c>
      <c r="G40" s="756"/>
      <c r="H40" s="756"/>
      <c r="I40" s="757"/>
    </row>
    <row r="41" spans="1:9" ht="72" customHeight="1" x14ac:dyDescent="0.3">
      <c r="B41" s="740"/>
      <c r="C41" s="741">
        <v>36</v>
      </c>
      <c r="D41" s="635" t="s">
        <v>1286</v>
      </c>
      <c r="E41" s="742" t="s">
        <v>1272</v>
      </c>
      <c r="F41" s="742"/>
      <c r="G41" s="743"/>
      <c r="H41" s="743"/>
      <c r="I41" s="744"/>
    </row>
    <row r="42" spans="1:9" s="745" customFormat="1" ht="72" customHeight="1" x14ac:dyDescent="0.3">
      <c r="B42" s="732"/>
      <c r="C42" s="35" t="s">
        <v>698</v>
      </c>
      <c r="D42" s="641" t="s">
        <v>1287</v>
      </c>
      <c r="E42" s="690" t="s">
        <v>1272</v>
      </c>
      <c r="F42" s="690" t="s">
        <v>1272</v>
      </c>
      <c r="G42" s="712"/>
      <c r="H42" s="712"/>
      <c r="I42" s="746"/>
    </row>
    <row r="43" spans="1:9" ht="72" customHeight="1" x14ac:dyDescent="0.3">
      <c r="B43" s="731"/>
      <c r="C43" s="35">
        <v>37</v>
      </c>
      <c r="D43" s="641" t="s">
        <v>591</v>
      </c>
      <c r="E43" s="690" t="s">
        <v>1272</v>
      </c>
      <c r="F43" s="690"/>
      <c r="G43" s="688"/>
      <c r="H43" s="688"/>
      <c r="I43" s="747"/>
    </row>
    <row r="44" spans="1:9" ht="72" customHeight="1" thickBot="1" x14ac:dyDescent="0.35">
      <c r="B44" s="767"/>
      <c r="C44" s="698" t="s">
        <v>699</v>
      </c>
      <c r="D44" s="642" t="str">
        <f>Валідація!C88</f>
        <v xml:space="preserve">Цільове фінансування в частині залишків запасів та незавершених капітальних інвестицій 
1. Відповідні дані Пасиву Балансу дорівнюють сумі залишків запасів  та незавершених капітальних інвестицій, отриманих як ЦФ у таблиці 10;
2. Перевірка Дт незавершених капітальних інвестицій, отримані як цільове фінансування у таблиці 10 із відповідними даними у таблиці 3;
3. Перевірка даних СдП та СдК таблиці 10 щодо незавершених капітальних інвестицій  з відповідними даними Балансу.
</v>
      </c>
      <c r="E44" s="768" t="b">
        <v>1</v>
      </c>
      <c r="F44" s="1438" t="b">
        <v>1</v>
      </c>
      <c r="G44" s="769"/>
      <c r="H44" s="769"/>
      <c r="I44" s="770"/>
    </row>
    <row r="45" spans="1:9" ht="72" customHeight="1" x14ac:dyDescent="0.3">
      <c r="B45" s="771"/>
      <c r="C45" s="741">
        <v>38</v>
      </c>
      <c r="D45" s="635" t="str">
        <f>Валідація!C91</f>
        <v xml:space="preserve">Пасив - валідація на невідповідності
1. Дані р. 1525 Балансу "Цільове фінансування (всього)" не можуть бути меншими, ніж сума відповідних рядків із запасами та капітальними інвестиціями;
2. Дані р. 1665 Балансу "Доходи майбутніх періодів (всього)" не можуть бути меншими, ніж залишкова вартість НА, ОЗ що  придбані за кошти цільового фінансування;
3. Дані р. 1635 Балансу "Поточна кредиторська заборгованість за отриманими авансами, всього" не можуть бути меншими, ніж "у тому числі аванси за ПМГ" та "у тому числі аванси за медичні та немедичні послуги за кошти фізичних і юридичних осіб, за страховими виплатами";
4. Дані р. "Цільове фінансування інше" Балансу мають бути менше або рівними сумі залишку грошових коштів та авансів;
5. Дані р. "Додатковий капітал інше" Балансу мають дорівнювати 0;
6. Дані р. 1660 "Поточні забезпечення" Балансу не більше витрат на оплату праці в місяць;
7. Дані р. "доходи майбутніх періодів інше" Балансу  не  більше двох  місячних сум  від надання майна в оренду  (якщо Договор містить предоплати за останні місяці);
8. Дані р. 1690 "Інші поточні зобов’язання" не може містити суттєвих сум;
9. Дані р.1430  "Вилучений капітал " Балансу мають дорівнювати 0. </v>
      </c>
      <c r="E45" s="766" t="b">
        <v>1</v>
      </c>
      <c r="F45" s="766" t="s">
        <v>1272</v>
      </c>
      <c r="G45" s="772"/>
      <c r="H45" s="772"/>
      <c r="I45" s="773"/>
    </row>
    <row r="46" spans="1:9" ht="72" customHeight="1" x14ac:dyDescent="0.3">
      <c r="B46" s="732"/>
      <c r="C46" s="35">
        <v>39</v>
      </c>
      <c r="D46" s="641" t="str">
        <f>Валідація!C94</f>
        <v>Актив - валідація на невідповідності
1. Дані р. 1125 Балансу «Дебіторська заборгованість за продукцію, товари, роботи, послуги» не можуть бути меншими, ніж у рядку «тому числі за ПМГ»;
2. Дані р.  1155 Балансу «Інша поточна дебіторська заборгованість, всього, у  тому числі» не можуть бути меншими, ніж сума  рядків «розрахунки з держaвними цільовими фондами»; «заборгованість бюджету з цільового фінансування (Дт 37 ЗБЦФ Кт 48)»; «заборгованість бюджету  для компенсації витрат (збитків)  (Дт 37 ЗБКВ Кт 719) (п.19 ПСБО 15) (ЗБКВ)»;
3.  Дані р. 1170  Балансу «Витрати майбутніх періодів» співвідносяться з надходженнями;
4. Дані р. 1090  Балансу «Інші необоротні активи" = 0; 
5. Дані р. 1190  Балансу  «Інші оборотні активи" не може містити суттєвих сум;
6. Якщо є заборгованість бюджету з цільового фінансування, то ця сума має бути в р. 1615 "Поточна кредиторська заборгованість за товари, роботи, послуги"</v>
      </c>
      <c r="E46" s="718" t="s">
        <v>1272</v>
      </c>
      <c r="F46" s="718" t="s">
        <v>1272</v>
      </c>
      <c r="G46" s="712"/>
      <c r="H46" s="712"/>
      <c r="I46" s="746"/>
    </row>
    <row r="47" spans="1:9" s="1441" customFormat="1" ht="72" customHeight="1" x14ac:dyDescent="0.3">
      <c r="B47" s="1474"/>
      <c r="C47" s="1475">
        <v>40</v>
      </c>
      <c r="D47" s="1476" t="str">
        <f>Валідація!$C$96</f>
        <v xml:space="preserve">Валідація обсягу нерозподіленого прибутку </v>
      </c>
      <c r="E47" s="1477" t="b">
        <v>1</v>
      </c>
      <c r="F47" s="1477" t="s">
        <v>689</v>
      </c>
      <c r="G47" s="1478"/>
      <c r="H47" s="1478"/>
      <c r="I47" s="1479"/>
    </row>
    <row r="48" spans="1:9" ht="61.9" customHeight="1" x14ac:dyDescent="0.3">
      <c r="B48" s="732"/>
      <c r="C48" s="35">
        <v>41</v>
      </c>
      <c r="D48" s="641" t="s">
        <v>1288</v>
      </c>
      <c r="E48" s="718" t="s">
        <v>1272</v>
      </c>
      <c r="F48" s="718" t="s">
        <v>1272</v>
      </c>
      <c r="G48" s="712"/>
      <c r="H48" s="712"/>
      <c r="I48" s="746"/>
    </row>
    <row r="49" spans="1:9" ht="72" customHeight="1" x14ac:dyDescent="0.3">
      <c r="B49" s="732"/>
      <c r="C49" s="35">
        <v>42</v>
      </c>
      <c r="D49" s="641" t="s">
        <v>1289</v>
      </c>
      <c r="E49" s="718" t="s">
        <v>1272</v>
      </c>
      <c r="F49" s="718" t="s">
        <v>1272</v>
      </c>
      <c r="G49" s="712"/>
      <c r="H49" s="712"/>
      <c r="I49" s="746"/>
    </row>
    <row r="50" spans="1:9" ht="72" customHeight="1" x14ac:dyDescent="0.3">
      <c r="B50" s="732"/>
      <c r="C50" s="35">
        <v>43</v>
      </c>
      <c r="D50" s="641" t="s">
        <v>1290</v>
      </c>
      <c r="E50" s="718" t="s">
        <v>1272</v>
      </c>
      <c r="F50" s="718" t="s">
        <v>1272</v>
      </c>
      <c r="G50" s="712"/>
      <c r="H50" s="712"/>
      <c r="I50" s="746"/>
    </row>
    <row r="51" spans="1:9" ht="72" customHeight="1" x14ac:dyDescent="0.3">
      <c r="B51" s="732"/>
      <c r="C51" s="35">
        <v>44</v>
      </c>
      <c r="D51" s="641" t="s">
        <v>1291</v>
      </c>
      <c r="E51" s="718" t="s">
        <v>1272</v>
      </c>
      <c r="F51" s="718" t="s">
        <v>1272</v>
      </c>
      <c r="G51" s="712"/>
      <c r="H51" s="712"/>
      <c r="I51" s="746"/>
    </row>
    <row r="52" spans="1:9" ht="90" customHeight="1" x14ac:dyDescent="0.3">
      <c r="B52" s="732"/>
      <c r="C52" s="774">
        <v>45</v>
      </c>
      <c r="D52" s="641" t="s">
        <v>1292</v>
      </c>
      <c r="E52" s="718" t="s">
        <v>1272</v>
      </c>
      <c r="F52" s="718" t="s">
        <v>1272</v>
      </c>
      <c r="G52" s="712"/>
      <c r="H52" s="712"/>
      <c r="I52" s="746"/>
    </row>
    <row r="53" spans="1:9" ht="48" customHeight="1" x14ac:dyDescent="0.3">
      <c r="B53" s="732"/>
      <c r="C53" s="35">
        <v>46</v>
      </c>
      <c r="D53" s="775" t="s">
        <v>674</v>
      </c>
      <c r="E53" s="718" t="s">
        <v>1272</v>
      </c>
      <c r="F53" s="718" t="s">
        <v>1272</v>
      </c>
      <c r="G53" s="718" t="s">
        <v>1272</v>
      </c>
      <c r="H53" s="776"/>
      <c r="I53" s="777"/>
    </row>
    <row r="54" spans="1:9" ht="48" customHeight="1" thickBot="1" x14ac:dyDescent="0.35">
      <c r="B54" s="732"/>
      <c r="C54" s="719">
        <v>47</v>
      </c>
      <c r="D54" s="641" t="s">
        <v>677</v>
      </c>
      <c r="E54" s="718" t="s">
        <v>1272</v>
      </c>
      <c r="F54" s="718" t="s">
        <v>1272</v>
      </c>
      <c r="G54" s="718" t="s">
        <v>1272</v>
      </c>
      <c r="H54" s="712"/>
      <c r="I54" s="746"/>
    </row>
    <row r="55" spans="1:9" ht="90" customHeight="1" thickBot="1" x14ac:dyDescent="0.35">
      <c r="B55" s="778"/>
      <c r="C55" s="703">
        <v>48</v>
      </c>
      <c r="D55" s="636" t="s">
        <v>1612</v>
      </c>
      <c r="E55" s="753" t="s">
        <v>1272</v>
      </c>
      <c r="F55" s="753" t="s">
        <v>1272</v>
      </c>
      <c r="G55" s="754"/>
      <c r="H55" s="754"/>
      <c r="I55" s="779"/>
    </row>
    <row r="56" spans="1:9" s="695" customFormat="1" ht="36" customHeight="1" x14ac:dyDescent="0.3">
      <c r="A56" s="713"/>
      <c r="B56" s="716"/>
      <c r="C56" s="748"/>
      <c r="D56" s="749" t="s">
        <v>705</v>
      </c>
      <c r="E56" s="750" t="s">
        <v>1590</v>
      </c>
      <c r="F56" s="750" t="s">
        <v>1590</v>
      </c>
      <c r="G56" s="750" t="s">
        <v>1590</v>
      </c>
      <c r="H56" s="751"/>
      <c r="I56" s="752">
        <v>27</v>
      </c>
    </row>
    <row r="57" spans="1:9" ht="49.15" customHeight="1" x14ac:dyDescent="0.3">
      <c r="A57" s="676"/>
      <c r="B57" s="717"/>
      <c r="C57" s="35">
        <v>19</v>
      </c>
      <c r="D57" s="641" t="s">
        <v>370</v>
      </c>
      <c r="E57" s="690" t="s">
        <v>1272</v>
      </c>
      <c r="F57" s="690" t="s">
        <v>1272</v>
      </c>
      <c r="G57" s="690" t="str">
        <f>F57</f>
        <v>True</v>
      </c>
      <c r="H57" s="688"/>
      <c r="I57" s="711"/>
    </row>
    <row r="58" spans="1:9" ht="49.15" customHeight="1" x14ac:dyDescent="0.3">
      <c r="A58" s="676"/>
      <c r="B58" s="717"/>
      <c r="C58" s="35">
        <v>20</v>
      </c>
      <c r="D58" s="886" t="s">
        <v>1568</v>
      </c>
      <c r="E58" s="690" t="s">
        <v>1272</v>
      </c>
      <c r="F58" s="690" t="s">
        <v>1272</v>
      </c>
      <c r="G58" s="690" t="str">
        <f t="shared" ref="G58:G69" si="0">F58</f>
        <v>True</v>
      </c>
      <c r="H58" s="688"/>
      <c r="I58" s="711"/>
    </row>
    <row r="59" spans="1:9" ht="49.15" customHeight="1" x14ac:dyDescent="0.3">
      <c r="A59" s="676"/>
      <c r="B59" s="717"/>
      <c r="C59" s="35">
        <v>21</v>
      </c>
      <c r="D59" s="886" t="s">
        <v>1566</v>
      </c>
      <c r="E59" s="690" t="s">
        <v>1272</v>
      </c>
      <c r="F59" s="690" t="s">
        <v>1272</v>
      </c>
      <c r="G59" s="690" t="str">
        <f t="shared" si="0"/>
        <v>True</v>
      </c>
      <c r="H59" s="688"/>
      <c r="I59" s="711"/>
    </row>
    <row r="60" spans="1:9" ht="49.15" customHeight="1" x14ac:dyDescent="0.3">
      <c r="A60" s="676"/>
      <c r="B60" s="717"/>
      <c r="C60" s="35">
        <v>22</v>
      </c>
      <c r="D60" s="886" t="s">
        <v>1567</v>
      </c>
      <c r="E60" s="690" t="s">
        <v>1272</v>
      </c>
      <c r="F60" s="690" t="s">
        <v>1272</v>
      </c>
      <c r="G60" s="690" t="str">
        <f t="shared" si="0"/>
        <v>True</v>
      </c>
      <c r="H60" s="688"/>
      <c r="I60" s="711"/>
    </row>
    <row r="61" spans="1:9" ht="49.15" customHeight="1" x14ac:dyDescent="0.3">
      <c r="B61" s="731"/>
      <c r="C61" s="35">
        <v>23</v>
      </c>
      <c r="D61" s="641" t="s">
        <v>368</v>
      </c>
      <c r="E61" s="690" t="s">
        <v>1272</v>
      </c>
      <c r="F61" s="690" t="s">
        <v>1272</v>
      </c>
      <c r="G61" s="690" t="str">
        <f t="shared" si="0"/>
        <v>True</v>
      </c>
      <c r="H61" s="688"/>
      <c r="I61" s="711"/>
    </row>
    <row r="62" spans="1:9" ht="62.45" customHeight="1" x14ac:dyDescent="0.3">
      <c r="B62" s="731"/>
      <c r="C62" s="35">
        <v>24</v>
      </c>
      <c r="D62" s="641" t="s">
        <v>1293</v>
      </c>
      <c r="E62" s="690" t="s">
        <v>1272</v>
      </c>
      <c r="F62" s="690" t="s">
        <v>1272</v>
      </c>
      <c r="G62" s="690" t="str">
        <f t="shared" si="0"/>
        <v>True</v>
      </c>
      <c r="H62" s="688"/>
      <c r="I62" s="711"/>
    </row>
    <row r="63" spans="1:9" ht="72" customHeight="1" x14ac:dyDescent="0.3">
      <c r="B63" s="731"/>
      <c r="C63" s="35">
        <v>25</v>
      </c>
      <c r="D63" s="641" t="s">
        <v>821</v>
      </c>
      <c r="E63" s="690" t="s">
        <v>1272</v>
      </c>
      <c r="F63" s="690" t="s">
        <v>1272</v>
      </c>
      <c r="G63" s="690" t="str">
        <f t="shared" si="0"/>
        <v>True</v>
      </c>
      <c r="H63" s="688"/>
      <c r="I63" s="711"/>
    </row>
    <row r="64" spans="1:9" ht="52.9" customHeight="1" x14ac:dyDescent="0.3">
      <c r="B64" s="731"/>
      <c r="C64" s="35">
        <v>26</v>
      </c>
      <c r="D64" s="641" t="s">
        <v>374</v>
      </c>
      <c r="E64" s="690" t="s">
        <v>1272</v>
      </c>
      <c r="F64" s="690" t="s">
        <v>1272</v>
      </c>
      <c r="G64" s="690" t="str">
        <f t="shared" si="0"/>
        <v>True</v>
      </c>
      <c r="H64" s="688"/>
      <c r="I64" s="711"/>
    </row>
    <row r="65" spans="2:9" ht="44.45" customHeight="1" x14ac:dyDescent="0.3">
      <c r="B65" s="731"/>
      <c r="C65" s="35">
        <v>27</v>
      </c>
      <c r="D65" s="641" t="s">
        <v>383</v>
      </c>
      <c r="E65" s="690" t="s">
        <v>1272</v>
      </c>
      <c r="F65" s="690" t="s">
        <v>1272</v>
      </c>
      <c r="G65" s="690" t="str">
        <f t="shared" si="0"/>
        <v>True</v>
      </c>
      <c r="H65" s="688"/>
      <c r="I65" s="711"/>
    </row>
    <row r="66" spans="2:9" ht="44.45" customHeight="1" x14ac:dyDescent="0.3">
      <c r="B66" s="731"/>
      <c r="C66" s="35">
        <v>28</v>
      </c>
      <c r="D66" s="641" t="s">
        <v>384</v>
      </c>
      <c r="E66" s="690" t="s">
        <v>1272</v>
      </c>
      <c r="F66" s="690" t="s">
        <v>1272</v>
      </c>
      <c r="G66" s="690" t="str">
        <f t="shared" si="0"/>
        <v>True</v>
      </c>
      <c r="H66" s="688"/>
      <c r="I66" s="711"/>
    </row>
    <row r="67" spans="2:9" ht="71.25" customHeight="1" x14ac:dyDescent="0.3">
      <c r="B67" s="731"/>
      <c r="C67" s="35">
        <v>29</v>
      </c>
      <c r="D67" s="641" t="s">
        <v>822</v>
      </c>
      <c r="E67" s="690" t="s">
        <v>1272</v>
      </c>
      <c r="F67" s="690" t="s">
        <v>1272</v>
      </c>
      <c r="G67" s="690" t="str">
        <f t="shared" si="0"/>
        <v>True</v>
      </c>
      <c r="H67" s="688"/>
      <c r="I67" s="711"/>
    </row>
    <row r="68" spans="2:9" ht="44.45" customHeight="1" x14ac:dyDescent="0.3">
      <c r="B68" s="666"/>
      <c r="C68" s="35">
        <v>30</v>
      </c>
      <c r="D68" s="886" t="s">
        <v>1294</v>
      </c>
      <c r="E68" s="690" t="s">
        <v>1272</v>
      </c>
      <c r="F68" s="690" t="s">
        <v>1272</v>
      </c>
      <c r="G68" s="690" t="str">
        <f t="shared" si="0"/>
        <v>True</v>
      </c>
      <c r="H68" s="688"/>
      <c r="I68" s="690"/>
    </row>
    <row r="69" spans="2:9" ht="39.75" customHeight="1" x14ac:dyDescent="0.3">
      <c r="B69" s="666"/>
      <c r="C69" s="35">
        <v>31</v>
      </c>
      <c r="D69" s="891" t="str">
        <f>Валідація!C141</f>
        <v>таблиця 8
Має бути заповнена  гр. 12 таблиці про кількість відпрацьованих людино-годин
Cпіввідношення штатних працівників до загальної кількості не менше 80%</v>
      </c>
      <c r="E69" s="690" t="s">
        <v>1272</v>
      </c>
      <c r="F69" s="690" t="s">
        <v>1272</v>
      </c>
      <c r="G69" s="690" t="str">
        <f t="shared" si="0"/>
        <v>True</v>
      </c>
      <c r="H69" s="688"/>
      <c r="I69" s="688"/>
    </row>
    <row r="70" spans="2:9" ht="18.75" customHeight="1" x14ac:dyDescent="0.3"/>
    <row r="71" spans="2:9" ht="18.75" customHeight="1" x14ac:dyDescent="0.3"/>
    <row r="72" spans="2:9" ht="18.75" customHeight="1" x14ac:dyDescent="0.3"/>
    <row r="73" spans="2:9" ht="18.75" customHeight="1" x14ac:dyDescent="0.3"/>
    <row r="74" spans="2:9" ht="18.75" customHeight="1" x14ac:dyDescent="0.3"/>
    <row r="75" spans="2:9" ht="18.75" customHeight="1" x14ac:dyDescent="0.3"/>
    <row r="76" spans="2:9" ht="18.75" customHeight="1" x14ac:dyDescent="0.3"/>
    <row r="77" spans="2:9" ht="18.75" customHeight="1" x14ac:dyDescent="0.3"/>
    <row r="78" spans="2:9" ht="18.75" customHeight="1" x14ac:dyDescent="0.3"/>
    <row r="79" spans="2:9" ht="18.75" customHeight="1" x14ac:dyDescent="0.3"/>
    <row r="80" spans="2:9" ht="18.75" customHeight="1" x14ac:dyDescent="0.3"/>
    <row r="81" ht="18.75" customHeight="1" x14ac:dyDescent="0.3"/>
    <row r="82" ht="18.75" customHeight="1" x14ac:dyDescent="0.3"/>
    <row r="84" ht="18.75" customHeight="1" x14ac:dyDescent="0.3"/>
    <row r="86" ht="18.75" customHeight="1" x14ac:dyDescent="0.3"/>
    <row r="88" ht="18.75" customHeight="1" x14ac:dyDescent="0.3"/>
  </sheetData>
  <mergeCells count="1">
    <mergeCell ref="E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9"/>
  <dimension ref="A1:BD154"/>
  <sheetViews>
    <sheetView showGridLines="0" topLeftCell="D1" zoomScale="50" zoomScaleNormal="50" zoomScalePageLayoutView="40" workbookViewId="0">
      <selection activeCell="G13" sqref="G13:J13"/>
    </sheetView>
  </sheetViews>
  <sheetFormatPr defaultRowHeight="18.75" x14ac:dyDescent="0.3"/>
  <cols>
    <col min="1" max="1" width="0" hidden="1" customWidth="1"/>
    <col min="2" max="2" width="15" customWidth="1"/>
    <col min="3" max="3" width="115.42578125" customWidth="1"/>
    <col min="4" max="5" width="27.7109375" style="696" customWidth="1"/>
    <col min="6" max="6" width="27.7109375" customWidth="1"/>
    <col min="7" max="7" width="46.28515625" customWidth="1"/>
    <col min="8" max="8" width="47.5703125" customWidth="1"/>
    <col min="9" max="9" width="43.7109375" customWidth="1"/>
    <col min="10" max="10" width="42" customWidth="1"/>
    <col min="11" max="11" width="38.7109375" customWidth="1"/>
    <col min="12" max="12" width="38.28515625" customWidth="1"/>
    <col min="13" max="13" width="34" customWidth="1"/>
    <col min="14" max="14" width="36" customWidth="1"/>
    <col min="15" max="15" width="36.5703125" customWidth="1"/>
    <col min="16" max="16" width="30.28515625" customWidth="1"/>
    <col min="17" max="17" width="33.42578125" customWidth="1"/>
    <col min="18" max="18" width="32.85546875" customWidth="1"/>
    <col min="19" max="19" width="37.85546875" customWidth="1"/>
    <col min="20" max="21" width="27.7109375" customWidth="1"/>
    <col min="22" max="22" width="29.42578125" customWidth="1"/>
    <col min="23" max="23" width="33.140625" customWidth="1"/>
    <col min="24" max="24" width="20" customWidth="1"/>
    <col min="25" max="25" width="18.28515625" customWidth="1"/>
    <col min="26" max="26" width="22" customWidth="1"/>
    <col min="27" max="27" width="31.140625" customWidth="1"/>
    <col min="28" max="28" width="30.28515625" customWidth="1"/>
    <col min="29" max="29" width="24" customWidth="1"/>
    <col min="30" max="30" width="23.42578125" customWidth="1"/>
    <col min="31" max="31" width="22" customWidth="1"/>
    <col min="32" max="32" width="29.7109375" customWidth="1"/>
    <col min="33" max="33" width="23.42578125" customWidth="1"/>
    <col min="34" max="34" width="26.85546875" customWidth="1"/>
    <col min="35" max="35" width="38.5703125" customWidth="1"/>
    <col min="36" max="36" width="21.42578125" customWidth="1"/>
    <col min="37" max="37" width="33.140625" customWidth="1"/>
    <col min="38" max="38" width="25.28515625" customWidth="1"/>
    <col min="39" max="39" width="26" customWidth="1"/>
    <col min="40" max="40" width="25.28515625" customWidth="1"/>
    <col min="41" max="41" width="29.42578125" customWidth="1"/>
    <col min="42" max="42" width="23.7109375" customWidth="1"/>
    <col min="43" max="43" width="26.28515625" style="1441" customWidth="1"/>
    <col min="44" max="44" width="26.85546875" customWidth="1"/>
    <col min="45" max="45" width="22" customWidth="1"/>
    <col min="46" max="46" width="24.85546875" customWidth="1"/>
    <col min="47" max="48" width="23.42578125" customWidth="1"/>
    <col min="49" max="49" width="23.5703125" customWidth="1"/>
    <col min="50" max="50" width="27.7109375" customWidth="1"/>
    <col min="51" max="51" width="24.85546875" customWidth="1"/>
    <col min="52" max="52" width="24.7109375" customWidth="1"/>
    <col min="53" max="53" width="17.140625" customWidth="1"/>
    <col min="54" max="54" width="24.140625" customWidth="1"/>
  </cols>
  <sheetData>
    <row r="1" spans="1:54" ht="30" customHeight="1" x14ac:dyDescent="0.3">
      <c r="A1" s="262"/>
      <c r="B1" s="1998">
        <v>1</v>
      </c>
      <c r="C1" s="1674" t="str">
        <f>'Звіт 1,2,3'!B1</f>
        <v>Ідентифікаційний код ЄДРПОУ</v>
      </c>
      <c r="D1" s="1675">
        <f>'Звіт 1,2,3'!D1:E1</f>
        <v>2006707</v>
      </c>
      <c r="E1" s="1676" t="str">
        <f>'Звіт 1,2,3'!F1</f>
        <v>код КОПФГ</v>
      </c>
      <c r="F1" s="1677">
        <f>'Звіт 1,2,3'!H1</f>
        <v>430</v>
      </c>
      <c r="G1" s="2142" t="str">
        <f>'Звіт 1,2,3'!H7</f>
        <v>КНП"Запорізький регіональний клінічний фтизіопульмонологічний лікувально-діагностичний центр" ЗОР</v>
      </c>
      <c r="H1" s="2143"/>
      <c r="I1" s="2143"/>
      <c r="J1" s="2143"/>
      <c r="K1" s="2143"/>
      <c r="L1" s="2143"/>
      <c r="M1" s="1673"/>
      <c r="N1" s="1673"/>
      <c r="O1" s="1673"/>
      <c r="P1" s="1659"/>
      <c r="Q1" s="1659"/>
      <c r="R1" s="1659"/>
      <c r="S1" s="1659"/>
      <c r="T1" s="1659"/>
      <c r="U1" s="1659"/>
      <c r="V1" s="1659"/>
      <c r="W1" s="1659"/>
      <c r="X1" s="1659"/>
      <c r="Y1" s="1659"/>
      <c r="Z1" s="1659"/>
      <c r="AA1" s="1659"/>
      <c r="AB1" s="1659"/>
      <c r="AC1" s="1659"/>
      <c r="AD1" s="1658"/>
      <c r="AE1" s="1658"/>
      <c r="AF1" s="1658"/>
      <c r="AG1" s="1658"/>
      <c r="AH1" s="1658"/>
      <c r="AI1" s="1658"/>
      <c r="AJ1" s="1658"/>
      <c r="AK1" s="1658"/>
      <c r="AL1" s="1658"/>
      <c r="AM1" s="1658"/>
      <c r="AN1" s="1658"/>
      <c r="AO1" s="1658"/>
      <c r="AP1" s="1658"/>
      <c r="AQ1" s="1658"/>
      <c r="AR1" s="1658"/>
      <c r="AS1" s="1658"/>
      <c r="AT1" s="1658"/>
      <c r="AU1" s="1658"/>
      <c r="AV1" s="1658"/>
      <c r="AW1" s="1658"/>
      <c r="AX1" s="1658"/>
      <c r="AY1" s="1658"/>
      <c r="AZ1" s="1658"/>
      <c r="BA1" s="1658"/>
      <c r="BB1" s="1658"/>
    </row>
    <row r="2" spans="1:54" ht="20.25" x14ac:dyDescent="0.3">
      <c r="A2" s="262"/>
      <c r="B2" s="1678"/>
      <c r="C2" s="2144" t="s">
        <v>846</v>
      </c>
      <c r="D2" s="2144"/>
      <c r="E2" s="2144"/>
      <c r="F2" s="2144"/>
      <c r="G2" s="2144"/>
      <c r="H2" s="2144"/>
      <c r="I2" s="1679" t="s">
        <v>621</v>
      </c>
      <c r="J2" s="1680" t="str">
        <f>IF('Звіт   4,5,6'!E39=0,"Дані не введено",Hidden!C8)</f>
        <v>Синя</v>
      </c>
      <c r="K2" s="1681"/>
      <c r="L2" s="1681"/>
      <c r="M2" s="1681"/>
      <c r="N2" s="1681"/>
      <c r="O2" s="1681"/>
      <c r="P2" s="1682"/>
      <c r="Q2" s="1682"/>
      <c r="R2" s="1682"/>
      <c r="S2" s="1682"/>
      <c r="T2" s="1682"/>
      <c r="U2" s="1682"/>
      <c r="V2" s="1682"/>
      <c r="W2" s="1682"/>
      <c r="X2" s="1682"/>
      <c r="Y2" s="1682"/>
      <c r="Z2" s="1659"/>
      <c r="AA2" s="1659"/>
      <c r="AB2" s="1659"/>
      <c r="AC2" s="1659"/>
      <c r="AD2" s="1658"/>
      <c r="AE2" s="1658"/>
      <c r="AF2" s="1658"/>
      <c r="AG2" s="1658"/>
      <c r="AH2" s="1658"/>
      <c r="AI2" s="1658"/>
      <c r="AJ2" s="1658"/>
      <c r="AK2" s="1658"/>
      <c r="AL2" s="1658"/>
      <c r="AM2" s="1658"/>
      <c r="AN2" s="1658"/>
      <c r="AO2" s="1658"/>
      <c r="AP2" s="1658"/>
      <c r="AQ2" s="1658"/>
      <c r="AR2" s="1658"/>
      <c r="AS2" s="1658"/>
      <c r="AT2" s="1658"/>
      <c r="AU2" s="1658"/>
      <c r="AV2" s="1658"/>
      <c r="AW2" s="1658"/>
      <c r="AX2" s="1658"/>
      <c r="AY2" s="1658"/>
      <c r="AZ2" s="1658"/>
      <c r="BA2" s="1658"/>
      <c r="BB2" s="1658"/>
    </row>
    <row r="3" spans="1:54" ht="15.75" thickBot="1" x14ac:dyDescent="0.3">
      <c r="A3" s="262"/>
      <c r="B3" s="1681"/>
      <c r="C3" s="2145" t="str">
        <f>'Звіт 1,2,3'!A3</f>
        <v>ЗВІТ ПРО ДОХОДИ ТА ВИТРАТИ за 1 квартал  2021 року</v>
      </c>
      <c r="D3" s="2145"/>
      <c r="E3" s="2145"/>
      <c r="F3" s="2145"/>
      <c r="G3" s="2145"/>
      <c r="H3" s="2145"/>
      <c r="I3" s="1681"/>
      <c r="J3" s="1681"/>
      <c r="K3" s="1681"/>
      <c r="L3" s="1681"/>
      <c r="M3" s="1681"/>
      <c r="N3" s="1681"/>
      <c r="O3" s="1681"/>
      <c r="P3" s="1682"/>
      <c r="Q3" s="1682"/>
      <c r="R3" s="1682"/>
      <c r="S3" s="1682"/>
      <c r="T3" s="1682"/>
      <c r="U3" s="1682"/>
      <c r="V3" s="1682"/>
      <c r="W3" s="1682"/>
      <c r="X3" s="1682"/>
      <c r="Y3" s="1682"/>
      <c r="Z3" s="1659"/>
      <c r="AA3" s="1659"/>
      <c r="AB3" s="1659"/>
      <c r="AC3" s="1659"/>
      <c r="AD3" s="1658"/>
      <c r="AE3" s="1658"/>
      <c r="AF3" s="1658"/>
      <c r="AG3" s="1658"/>
      <c r="AH3" s="1658"/>
      <c r="AI3" s="1658"/>
      <c r="AJ3" s="1658"/>
      <c r="AK3" s="1658"/>
      <c r="AL3" s="1658"/>
      <c r="AM3" s="1658"/>
      <c r="AN3" s="1658"/>
      <c r="AO3" s="1658"/>
      <c r="AP3" s="1658"/>
      <c r="AQ3" s="1658"/>
      <c r="AR3" s="1658"/>
      <c r="AS3" s="1658"/>
      <c r="AT3" s="1658"/>
      <c r="AU3" s="1658"/>
      <c r="AV3" s="1658"/>
      <c r="AW3" s="1658"/>
      <c r="AX3" s="1658"/>
      <c r="AY3" s="1658"/>
      <c r="AZ3" s="1658"/>
      <c r="BA3" s="1658"/>
      <c r="BB3" s="1658"/>
    </row>
    <row r="4" spans="1:54" ht="56.25" x14ac:dyDescent="0.25">
      <c r="A4" s="262"/>
      <c r="B4" s="1683" t="s">
        <v>852</v>
      </c>
      <c r="C4" s="1684" t="s">
        <v>854</v>
      </c>
      <c r="D4" s="1685" t="s">
        <v>342</v>
      </c>
      <c r="E4" s="1686" t="s">
        <v>855</v>
      </c>
      <c r="F4" s="1687" t="s">
        <v>853</v>
      </c>
      <c r="G4" s="2146" t="s">
        <v>873</v>
      </c>
      <c r="H4" s="2147"/>
      <c r="I4" s="2147"/>
      <c r="J4" s="2147"/>
      <c r="K4" s="2147"/>
      <c r="L4" s="2147"/>
      <c r="M4" s="2147"/>
      <c r="N4" s="1673"/>
      <c r="O4" s="1673"/>
      <c r="P4" s="1659"/>
      <c r="Q4" s="1659"/>
      <c r="R4" s="1659"/>
      <c r="S4" s="1659"/>
      <c r="T4" s="1659"/>
      <c r="U4" s="1659"/>
      <c r="V4" s="1659"/>
      <c r="W4" s="1659"/>
      <c r="X4" s="1659"/>
      <c r="Y4" s="1659"/>
      <c r="Z4" s="1659"/>
      <c r="AA4" s="1659"/>
      <c r="AB4" s="1659"/>
      <c r="AC4" s="1659"/>
      <c r="AD4" s="1658"/>
      <c r="AE4" s="1658"/>
      <c r="AF4" s="1658"/>
      <c r="AG4" s="1658"/>
      <c r="AH4" s="1658"/>
      <c r="AI4" s="1658"/>
      <c r="AJ4" s="1658"/>
      <c r="AK4" s="1658"/>
      <c r="AL4" s="1658"/>
      <c r="AM4" s="1658"/>
      <c r="AN4" s="1658"/>
      <c r="AO4" s="1658"/>
      <c r="AP4" s="1658"/>
      <c r="AQ4" s="1658"/>
      <c r="AR4" s="1658"/>
      <c r="AS4" s="1658"/>
      <c r="AT4" s="1658"/>
      <c r="AU4" s="1658"/>
      <c r="AV4" s="1658"/>
      <c r="AW4" s="1658"/>
      <c r="AX4" s="1658"/>
      <c r="AY4" s="1658"/>
      <c r="AZ4" s="1658"/>
      <c r="BA4" s="1658"/>
      <c r="BB4" s="1658"/>
    </row>
    <row r="5" spans="1:54" ht="28.5" customHeight="1" x14ac:dyDescent="0.25">
      <c r="A5" s="262"/>
      <c r="B5" s="1688"/>
      <c r="C5" s="1689" t="s">
        <v>1256</v>
      </c>
      <c r="D5" s="1690" t="s">
        <v>343</v>
      </c>
      <c r="E5" s="1691" t="s">
        <v>344</v>
      </c>
      <c r="F5" s="1483" t="str">
        <f>IF('Звіт   4,5,6'!E39=0,"Дані не введено",IF(OR(D1=0,'Звіт 1,2,3'!H7=0,'Звіт 1,2,3'!H8=0,'Звіт 1,2,3'!H9=0,'Звіт 1,2,3'!H10=0,'Звіт   9'!D94=0,'Звіт   9'!D95=0,'Звіт   9'!D96=0,'Звіт   9'!D97=0,'Звіт   9'!D98=0),"ПОМИЛКА","ПРАВДА"))</f>
        <v>ПРАВДА</v>
      </c>
      <c r="G5" s="2159" t="str">
        <f>IF('Звіт   4,5,6'!E39=0,"Дані не введено",IF(AND((G7-H7)&lt;=1,(G7-H7)&gt;=-1,(I7-J7)&lt;=1,(I7-J7)&gt;=-1),"ПРАВДА","ПОМИЛКА"))</f>
        <v>ПРАВДА</v>
      </c>
      <c r="H5" s="2160"/>
      <c r="I5" s="2160"/>
      <c r="J5" s="2160"/>
      <c r="K5" s="2158" t="s">
        <v>1721</v>
      </c>
      <c r="L5" s="2158"/>
      <c r="M5" s="2158"/>
      <c r="N5" s="2158"/>
      <c r="O5" s="1673"/>
      <c r="P5" s="1659"/>
      <c r="Q5" s="1659"/>
      <c r="R5" s="1659"/>
      <c r="S5" s="1659"/>
      <c r="T5" s="1659"/>
      <c r="U5" s="1659"/>
      <c r="V5" s="1659"/>
      <c r="W5" s="1659"/>
      <c r="X5" s="1659"/>
      <c r="Y5" s="1659"/>
      <c r="Z5" s="1659"/>
      <c r="AA5" s="1659"/>
      <c r="AB5" s="1659"/>
      <c r="AC5" s="1659"/>
      <c r="AD5" s="1658"/>
      <c r="AE5" s="1658"/>
      <c r="AF5" s="1658"/>
      <c r="AG5" s="1658"/>
      <c r="AH5" s="1658"/>
      <c r="AI5" s="1658"/>
      <c r="AJ5" s="1658"/>
      <c r="AK5" s="1658"/>
      <c r="AL5" s="1658"/>
      <c r="AM5" s="1658"/>
      <c r="AN5" s="1658"/>
      <c r="AO5" s="1658"/>
      <c r="AP5" s="1658"/>
      <c r="AQ5" s="1658"/>
      <c r="AR5" s="1658"/>
      <c r="AS5" s="1658"/>
      <c r="AT5" s="1658"/>
      <c r="AU5" s="1658"/>
      <c r="AV5" s="1658"/>
      <c r="AW5" s="1658"/>
      <c r="AX5" s="1658"/>
      <c r="AY5" s="1658"/>
      <c r="AZ5" s="1658"/>
      <c r="BA5" s="1658"/>
      <c r="BB5" s="1658"/>
    </row>
    <row r="6" spans="1:54" ht="32.25" customHeight="1" x14ac:dyDescent="0.25">
      <c r="A6" s="262"/>
      <c r="B6" s="2139" t="s">
        <v>388</v>
      </c>
      <c r="C6" s="2140" t="s">
        <v>360</v>
      </c>
      <c r="D6" s="2063" t="s">
        <v>343</v>
      </c>
      <c r="E6" s="2141" t="s">
        <v>344</v>
      </c>
      <c r="F6" s="2064" t="str">
        <f>IF('Звіт   4,5,6'!E39=0,"Дані не введено",IF(AND((I7-J7)&lt;=1,(I7-J7)&gt;=-1,(G7-H7)&lt;=1,(G7-H7)&gt;=-1,O7="ПРАВДА"),"ПРАВДА","ПОМИЛКА"))</f>
        <v>ПРАВДА</v>
      </c>
      <c r="G6" s="1692" t="s">
        <v>345</v>
      </c>
      <c r="H6" s="1692" t="s">
        <v>346</v>
      </c>
      <c r="I6" s="1692" t="s">
        <v>347</v>
      </c>
      <c r="J6" s="1692" t="s">
        <v>348</v>
      </c>
      <c r="K6" s="1693" t="s">
        <v>345</v>
      </c>
      <c r="L6" s="1693" t="s">
        <v>346</v>
      </c>
      <c r="M6" s="1693" t="s">
        <v>347</v>
      </c>
      <c r="N6" s="1693" t="s">
        <v>348</v>
      </c>
      <c r="O6" s="1673"/>
      <c r="P6" s="1659"/>
      <c r="Q6" s="1659"/>
      <c r="R6" s="1659"/>
      <c r="S6" s="1659"/>
      <c r="T6" s="1659"/>
      <c r="U6" s="1659"/>
      <c r="V6" s="1659"/>
      <c r="W6" s="1659"/>
      <c r="X6" s="1659"/>
      <c r="Y6" s="1659"/>
      <c r="Z6" s="1659"/>
      <c r="AA6" s="1659"/>
      <c r="AB6" s="1659"/>
      <c r="AC6" s="1659"/>
      <c r="AD6" s="1658"/>
      <c r="AE6" s="1658"/>
      <c r="AF6" s="1658"/>
      <c r="AG6" s="1658"/>
      <c r="AH6" s="1658"/>
      <c r="AI6" s="1658"/>
      <c r="AJ6" s="1658"/>
      <c r="AK6" s="1658"/>
      <c r="AL6" s="1658"/>
      <c r="AM6" s="1658"/>
      <c r="AN6" s="1658"/>
      <c r="AO6" s="1658"/>
      <c r="AP6" s="1658"/>
      <c r="AQ6" s="1658"/>
      <c r="AR6" s="1658"/>
      <c r="AS6" s="1658"/>
      <c r="AT6" s="1658"/>
      <c r="AU6" s="1658"/>
      <c r="AV6" s="1658"/>
      <c r="AW6" s="1658"/>
      <c r="AX6" s="1658"/>
      <c r="AY6" s="1658"/>
      <c r="AZ6" s="1658"/>
      <c r="BA6" s="1658"/>
      <c r="BB6" s="1658"/>
    </row>
    <row r="7" spans="1:54" x14ac:dyDescent="0.25">
      <c r="A7" s="262"/>
      <c r="B7" s="2139"/>
      <c r="C7" s="2140"/>
      <c r="D7" s="2063"/>
      <c r="E7" s="2141"/>
      <c r="F7" s="2064"/>
      <c r="G7" s="1694">
        <f>ROUND('Звіт   9'!E46,1)</f>
        <v>71621.5</v>
      </c>
      <c r="H7" s="1694">
        <f>ROUND('Звіт   9'!E92,1)</f>
        <v>71621.5</v>
      </c>
      <c r="I7" s="1694">
        <f>ROUND('Звіт   9'!I46,1)</f>
        <v>81089</v>
      </c>
      <c r="J7" s="1694">
        <f>ROUND('Звіт   9'!I92,1)</f>
        <v>81089</v>
      </c>
      <c r="K7" s="1695">
        <f>ROUND('Звіт   9'!H46,1)</f>
        <v>81540.899999999994</v>
      </c>
      <c r="L7" s="1695">
        <f>ROUND('Звіт   9'!H92,1)</f>
        <v>81540.899999999994</v>
      </c>
      <c r="M7" s="1695">
        <f>ROUND('Звіт   9'!K46,0)</f>
        <v>81089</v>
      </c>
      <c r="N7" s="1695">
        <f>ROUND('Звіт   9'!K92,0)</f>
        <v>81089</v>
      </c>
      <c r="O7" s="1673" t="str">
        <f>IF('Звіт   4,5,6'!E39=0,"Дані не введено",IF(AND((K7-L7)&lt;=1,(K7-L7)&gt;=-1,(M7-N7)&lt;=1,(M7-N7)&gt;=-1),"ПРАВДА","ПОМИЛКА"))</f>
        <v>ПРАВДА</v>
      </c>
      <c r="P7" s="1659"/>
      <c r="Q7" s="1659"/>
      <c r="R7" s="1659"/>
      <c r="S7" s="1659"/>
      <c r="T7" s="1659"/>
      <c r="U7" s="1659"/>
      <c r="V7" s="1659"/>
      <c r="W7" s="1659"/>
      <c r="X7" s="1659"/>
      <c r="Y7" s="1659"/>
      <c r="Z7" s="1659"/>
      <c r="AA7" s="1659"/>
      <c r="AB7" s="1659"/>
      <c r="AC7" s="1659"/>
      <c r="AD7" s="1658"/>
      <c r="AE7" s="1658"/>
      <c r="AF7" s="1658"/>
      <c r="AG7" s="1658"/>
      <c r="AH7" s="1658"/>
      <c r="AI7" s="1658"/>
      <c r="AJ7" s="1658"/>
      <c r="AK7" s="1658"/>
      <c r="AL7" s="1658"/>
      <c r="AM7" s="1658"/>
      <c r="AN7" s="1658"/>
      <c r="AO7" s="1658"/>
      <c r="AP7" s="1658"/>
      <c r="AQ7" s="1658"/>
      <c r="AR7" s="1658"/>
      <c r="AS7" s="1658"/>
      <c r="AT7" s="1658"/>
      <c r="AU7" s="1658"/>
      <c r="AV7" s="1658"/>
      <c r="AW7" s="1658"/>
      <c r="AX7" s="1658"/>
      <c r="AY7" s="1658"/>
      <c r="AZ7" s="1658"/>
      <c r="BA7" s="1658"/>
      <c r="BB7" s="1658"/>
    </row>
    <row r="8" spans="1:54" ht="53.25" customHeight="1" thickBot="1" x14ac:dyDescent="0.35">
      <c r="A8" s="262"/>
      <c r="B8" s="1696" t="s">
        <v>420</v>
      </c>
      <c r="C8" s="1697" t="s">
        <v>1241</v>
      </c>
      <c r="D8" s="1698" t="s">
        <v>343</v>
      </c>
      <c r="E8" s="1699" t="s">
        <v>344</v>
      </c>
      <c r="F8" s="266" t="str">
        <f>IF('Звіт   4,5,6'!E39=0,"Дані не введено",IF(('Звіт   9'!K46+'Звіт   9'!K92)&gt;0,"ПРАВДА","ПОМИЛКА"))</f>
        <v>ПРАВДА</v>
      </c>
      <c r="G8" s="1700"/>
      <c r="H8" s="1700"/>
      <c r="I8" s="1700"/>
      <c r="J8" s="1700"/>
      <c r="K8" s="1673"/>
      <c r="L8" s="1673"/>
      <c r="M8" s="1673"/>
      <c r="N8" s="1701"/>
      <c r="O8" s="1701"/>
      <c r="P8" s="1701"/>
      <c r="Q8" s="1702"/>
      <c r="R8" s="1702"/>
      <c r="S8" s="1659"/>
      <c r="T8" s="1659"/>
      <c r="U8" s="1659"/>
      <c r="V8" s="1659"/>
      <c r="W8" s="1659"/>
      <c r="X8" s="1659"/>
      <c r="Y8" s="1659"/>
      <c r="Z8" s="1659"/>
      <c r="AA8" s="1659"/>
      <c r="AB8" s="1659"/>
      <c r="AC8" s="1659"/>
      <c r="AD8" s="1658"/>
      <c r="AE8" s="1658"/>
      <c r="AF8" s="1658"/>
      <c r="AG8" s="1658"/>
      <c r="AH8" s="1658"/>
      <c r="AI8" s="1658"/>
      <c r="AJ8" s="1658"/>
      <c r="AK8" s="1658"/>
      <c r="AL8" s="1658"/>
      <c r="AM8" s="1658"/>
      <c r="AN8" s="1658"/>
      <c r="AO8" s="1658"/>
      <c r="AP8" s="1658"/>
      <c r="AQ8" s="1658"/>
      <c r="AR8" s="1658"/>
      <c r="AS8" s="1658"/>
      <c r="AT8" s="1658"/>
      <c r="AU8" s="1658"/>
      <c r="AV8" s="1658"/>
      <c r="AW8" s="1658"/>
      <c r="AX8" s="1658"/>
      <c r="AY8" s="1658"/>
      <c r="AZ8" s="1658"/>
      <c r="BA8" s="1658"/>
      <c r="BB8" s="1658"/>
    </row>
    <row r="9" spans="1:54" ht="75" x14ac:dyDescent="0.25">
      <c r="A9" s="262"/>
      <c r="B9" s="2138" t="s">
        <v>389</v>
      </c>
      <c r="C9" s="2097" t="s">
        <v>802</v>
      </c>
      <c r="D9" s="2081" t="s">
        <v>343</v>
      </c>
      <c r="E9" s="2098" t="s">
        <v>344</v>
      </c>
      <c r="F9" s="2148" t="str">
        <f>IF('Звіт   4,5,6'!E39=0,"Дані не введено",IF(AND(I10&lt;=1,I10&gt;=-1,L10&lt;=1,L10&gt;=-1,P10&lt;=1,P10&gt;=-1,R10&lt;=1,R10&gt;=-1),"ПРАВДА","ПОМИЛКА"))</f>
        <v>ПРАВДА</v>
      </c>
      <c r="G9" s="1703" t="s">
        <v>622</v>
      </c>
      <c r="H9" s="1704" t="s">
        <v>623</v>
      </c>
      <c r="I9" s="1705" t="s">
        <v>535</v>
      </c>
      <c r="J9" s="1703" t="s">
        <v>563</v>
      </c>
      <c r="K9" s="1704" t="s">
        <v>799</v>
      </c>
      <c r="L9" s="1705" t="s">
        <v>535</v>
      </c>
      <c r="M9" s="1706" t="s">
        <v>800</v>
      </c>
      <c r="N9" s="1707" t="s">
        <v>784</v>
      </c>
      <c r="O9" s="1704" t="s">
        <v>624</v>
      </c>
      <c r="P9" s="1708" t="s">
        <v>625</v>
      </c>
      <c r="Q9" s="1704" t="s">
        <v>801</v>
      </c>
      <c r="R9" s="1705" t="s">
        <v>626</v>
      </c>
      <c r="S9" s="1659"/>
      <c r="T9" s="1659"/>
      <c r="U9" s="1659"/>
      <c r="V9" s="1659"/>
      <c r="W9" s="1659"/>
      <c r="X9" s="1659"/>
      <c r="Y9" s="1659"/>
      <c r="Z9" s="1658"/>
      <c r="AA9" s="1658"/>
      <c r="AB9" s="1658"/>
      <c r="AC9" s="1658"/>
      <c r="AD9" s="1658"/>
      <c r="AE9" s="1658"/>
      <c r="AF9" s="1658"/>
      <c r="AG9" s="1658"/>
      <c r="AH9" s="1658"/>
      <c r="AI9" s="1658"/>
      <c r="AJ9" s="1658"/>
      <c r="AK9" s="1658"/>
      <c r="AL9" s="1658"/>
      <c r="AM9" s="1658"/>
      <c r="AN9" s="1658"/>
      <c r="AO9" s="1658"/>
      <c r="AP9" s="1658"/>
      <c r="AQ9" s="1658"/>
      <c r="AR9" s="1658"/>
      <c r="AS9" s="1658"/>
      <c r="AT9" s="1658"/>
      <c r="AU9" s="1658"/>
      <c r="AV9" s="1658"/>
      <c r="AW9" s="1658"/>
      <c r="AX9" s="1658"/>
      <c r="AY9" s="1658"/>
      <c r="AZ9" s="1658"/>
      <c r="BA9" s="1658"/>
      <c r="BB9" s="1658"/>
    </row>
    <row r="10" spans="1:54" ht="19.5" thickBot="1" x14ac:dyDescent="0.3">
      <c r="A10" s="262"/>
      <c r="B10" s="2061"/>
      <c r="C10" s="2094"/>
      <c r="D10" s="2037"/>
      <c r="E10" s="2038"/>
      <c r="F10" s="2149"/>
      <c r="G10" s="1709">
        <f>ROUND('Звіт   9'!H27,1)</f>
        <v>28613.1</v>
      </c>
      <c r="H10" s="1710">
        <f>ROUND(('Звіт 10, 11,12,13,14'!F26/1000),1)</f>
        <v>28613.1</v>
      </c>
      <c r="I10" s="1711">
        <f>ROUND((G10-H10),1)</f>
        <v>0</v>
      </c>
      <c r="J10" s="1709">
        <f>ROUND('Звіт 1,2,3'!G29/1000,1)</f>
        <v>10833.7</v>
      </c>
      <c r="K10" s="1710">
        <f>ROUND(('Звіт 10, 11,12,13,14'!M26/1000),1)</f>
        <v>10833.7</v>
      </c>
      <c r="L10" s="1711">
        <f>ROUND((J10-K10),1)</f>
        <v>0</v>
      </c>
      <c r="M10" s="1712">
        <f>ROUND(('Звіт 10, 11,12,13,14'!R26)/1000,1)</f>
        <v>7981.3</v>
      </c>
      <c r="N10" s="1713">
        <f>ROUND((G10+J10-M10),1)</f>
        <v>31465.5</v>
      </c>
      <c r="O10" s="1713">
        <f>ROUND('Звіт   9'!K27,1)</f>
        <v>31465.5</v>
      </c>
      <c r="P10" s="1714">
        <f>ROUND((O10-N10),1)</f>
        <v>0</v>
      </c>
      <c r="Q10" s="1715">
        <f>ROUND(('Звіт 10, 11,12,13,14'!AB26/1000),1)</f>
        <v>31465.5</v>
      </c>
      <c r="R10" s="1716">
        <f>ROUND((O10-Q10),1)</f>
        <v>0</v>
      </c>
      <c r="S10" s="1659"/>
      <c r="T10" s="1659"/>
      <c r="U10" s="1659"/>
      <c r="V10" s="1659"/>
      <c r="W10" s="1659"/>
      <c r="X10" s="1659"/>
      <c r="Y10" s="1659"/>
      <c r="Z10" s="1658"/>
      <c r="AA10" s="1658"/>
      <c r="AB10" s="1658"/>
      <c r="AC10" s="1658"/>
      <c r="AD10" s="1658"/>
      <c r="AE10" s="1658"/>
      <c r="AF10" s="1658"/>
      <c r="AG10" s="1658"/>
      <c r="AH10" s="1658"/>
      <c r="AI10" s="1658"/>
      <c r="AJ10" s="1658"/>
      <c r="AK10" s="1658"/>
      <c r="AL10" s="1658"/>
      <c r="AM10" s="1658"/>
      <c r="AN10" s="1658"/>
      <c r="AO10" s="1658"/>
      <c r="AP10" s="1658"/>
      <c r="AQ10" s="1658"/>
      <c r="AR10" s="1658"/>
      <c r="AS10" s="1658"/>
      <c r="AT10" s="1658"/>
      <c r="AU10" s="1658"/>
      <c r="AV10" s="1658"/>
      <c r="AW10" s="1658"/>
      <c r="AX10" s="1658"/>
      <c r="AY10" s="1658"/>
      <c r="AZ10" s="1658"/>
      <c r="BA10" s="1658"/>
      <c r="BB10" s="1658"/>
    </row>
    <row r="11" spans="1:54" ht="106.9" customHeight="1" x14ac:dyDescent="0.25">
      <c r="A11" s="262"/>
      <c r="B11" s="2138" t="s">
        <v>390</v>
      </c>
      <c r="C11" s="2110" t="s">
        <v>1397</v>
      </c>
      <c r="D11" s="2036" t="s">
        <v>343</v>
      </c>
      <c r="E11" s="2098" t="s">
        <v>344</v>
      </c>
      <c r="F11" s="2042" t="str">
        <f>IF('Звіт   4,5,6'!E39=0,"Дані не введено",IF(AND((K12-P12)&lt;=1,(K12-P12)&gt;=-1,J12&gt;=0,I12&gt;=0),"ПРАВДА", "ПОМИЛКА"))</f>
        <v>ПРАВДА</v>
      </c>
      <c r="G11" s="1686" t="s">
        <v>729</v>
      </c>
      <c r="H11" s="1686" t="s">
        <v>730</v>
      </c>
      <c r="I11" s="1717" t="s">
        <v>1834</v>
      </c>
      <c r="J11" s="1717" t="s">
        <v>1381</v>
      </c>
      <c r="K11" s="1705" t="s">
        <v>1382</v>
      </c>
      <c r="L11" s="1704" t="s">
        <v>564</v>
      </c>
      <c r="M11" s="1718" t="s">
        <v>1504</v>
      </c>
      <c r="N11" s="1718" t="s">
        <v>1409</v>
      </c>
      <c r="O11" s="1719" t="s">
        <v>1507</v>
      </c>
      <c r="P11" s="1705" t="s">
        <v>627</v>
      </c>
      <c r="Q11" s="1658"/>
      <c r="R11" s="1658"/>
      <c r="S11" s="1682"/>
      <c r="T11" s="1682"/>
      <c r="U11" s="1659"/>
      <c r="V11" s="1659"/>
      <c r="W11" s="1659"/>
      <c r="X11" s="1659"/>
      <c r="Y11" s="1659"/>
      <c r="Z11" s="1659"/>
      <c r="AA11" s="1659"/>
      <c r="AB11" s="1659"/>
      <c r="AC11" s="1659"/>
      <c r="AD11" s="1658"/>
      <c r="AE11" s="1658"/>
      <c r="AF11" s="1658"/>
      <c r="AG11" s="1658"/>
      <c r="AH11" s="1658"/>
      <c r="AI11" s="1658"/>
      <c r="AJ11" s="1658"/>
      <c r="AK11" s="1658"/>
      <c r="AL11" s="1658"/>
      <c r="AM11" s="1658"/>
      <c r="AN11" s="1658"/>
      <c r="AO11" s="1658"/>
      <c r="AP11" s="1658"/>
      <c r="AQ11" s="1658"/>
      <c r="AR11" s="1658"/>
      <c r="AS11" s="1658"/>
      <c r="AT11" s="1658"/>
      <c r="AU11" s="1658"/>
      <c r="AV11" s="1658"/>
      <c r="AW11" s="1658"/>
      <c r="AX11" s="1658"/>
      <c r="AY11" s="1658"/>
      <c r="AZ11" s="1658"/>
      <c r="BA11" s="1658"/>
      <c r="BB11" s="1658"/>
    </row>
    <row r="12" spans="1:54" ht="40.15" customHeight="1" thickBot="1" x14ac:dyDescent="0.3">
      <c r="A12" s="262"/>
      <c r="B12" s="2061"/>
      <c r="C12" s="2111"/>
      <c r="D12" s="2037"/>
      <c r="E12" s="2038"/>
      <c r="F12" s="2121"/>
      <c r="G12" s="1713">
        <f>ROUND(('Звіт   9'!H56),1)</f>
        <v>4517.6000000000004</v>
      </c>
      <c r="H12" s="1713">
        <f>ROUND('Звіт   9'!K56,1)</f>
        <v>-5517.2</v>
      </c>
      <c r="I12" s="1715">
        <f>ROUND(('Звіт 10, 11,12,13,14'!G87)/1000,1)</f>
        <v>0</v>
      </c>
      <c r="J12" s="1715">
        <f>ROUND(('Звіт 10, 11,12,13,14'!I81)/1000,1)</f>
        <v>0</v>
      </c>
      <c r="K12" s="1711">
        <f>ROUND((H12-G12-(I12+J12)),1)</f>
        <v>-10034.799999999999</v>
      </c>
      <c r="L12" s="1713">
        <f>ROUND(('Звіт   4,5,6'!H7/1000),1)</f>
        <v>23081.8</v>
      </c>
      <c r="M12" s="1712">
        <f>ROUND((('Звіт   4,5,6'!E37+'Звіт   4,5,6'!E88)/1000),1)</f>
        <v>33116.6</v>
      </c>
      <c r="N12" s="1712">
        <f>ROUND((('Звіт   4,5,6'!H30+'Звіт   4,5,6'!H31)/1000),1)</f>
        <v>0</v>
      </c>
      <c r="O12" s="1720">
        <f>ROUND((M12+N12),1)</f>
        <v>33116.6</v>
      </c>
      <c r="P12" s="1711">
        <f>ROUND((L12-O12),1)</f>
        <v>-10034.799999999999</v>
      </c>
      <c r="Q12" s="1658"/>
      <c r="R12" s="1658"/>
      <c r="S12" s="1682"/>
      <c r="T12" s="1682"/>
      <c r="U12" s="1659"/>
      <c r="V12" s="1659"/>
      <c r="W12" s="1659"/>
      <c r="X12" s="1659"/>
      <c r="Y12" s="1659"/>
      <c r="Z12" s="1659"/>
      <c r="AA12" s="1659"/>
      <c r="AB12" s="1659"/>
      <c r="AC12" s="1659"/>
      <c r="AD12" s="1658"/>
      <c r="AE12" s="1658"/>
      <c r="AF12" s="1658"/>
      <c r="AG12" s="1658"/>
      <c r="AH12" s="1658"/>
      <c r="AI12" s="1658"/>
      <c r="AJ12" s="1658"/>
      <c r="AK12" s="1658"/>
      <c r="AL12" s="1658"/>
      <c r="AM12" s="1658"/>
      <c r="AN12" s="1658"/>
      <c r="AO12" s="1658"/>
      <c r="AP12" s="1658"/>
      <c r="AQ12" s="1658"/>
      <c r="AR12" s="1658"/>
      <c r="AS12" s="1658"/>
      <c r="AT12" s="1658"/>
      <c r="AU12" s="1658"/>
      <c r="AV12" s="1658"/>
      <c r="AW12" s="1658"/>
      <c r="AX12" s="1658"/>
      <c r="AY12" s="1658"/>
      <c r="AZ12" s="1658"/>
      <c r="BA12" s="1658"/>
      <c r="BB12" s="1658"/>
    </row>
    <row r="13" spans="1:54" ht="19.5" thickBot="1" x14ac:dyDescent="0.3">
      <c r="A13" s="262"/>
      <c r="B13" s="1721"/>
      <c r="C13" s="383"/>
      <c r="D13" s="1722"/>
      <c r="E13" s="1722"/>
      <c r="F13" s="1651"/>
      <c r="G13" s="2163" t="s">
        <v>555</v>
      </c>
      <c r="H13" s="2163"/>
      <c r="I13" s="2163"/>
      <c r="J13" s="2163"/>
      <c r="K13" s="1723"/>
      <c r="L13" s="1723"/>
      <c r="M13" s="1724"/>
      <c r="N13" s="1725"/>
      <c r="O13" s="1725"/>
      <c r="P13" s="1726"/>
      <c r="Q13" s="1726"/>
      <c r="R13" s="1726"/>
      <c r="S13" s="1726"/>
      <c r="T13" s="1726"/>
      <c r="U13" s="1727"/>
      <c r="V13" s="1727"/>
      <c r="W13" s="1727"/>
      <c r="X13" s="1727"/>
      <c r="Y13" s="1727"/>
      <c r="Z13" s="1659"/>
      <c r="AA13" s="1659"/>
      <c r="AB13" s="1659"/>
      <c r="AC13" s="1659"/>
      <c r="AD13" s="1658"/>
      <c r="AE13" s="1658"/>
      <c r="AF13" s="1658"/>
      <c r="AG13" s="1658"/>
      <c r="AH13" s="1658"/>
      <c r="AI13" s="1658"/>
      <c r="AJ13" s="1658"/>
      <c r="AK13" s="1658"/>
      <c r="AL13" s="1658"/>
      <c r="AM13" s="1658"/>
      <c r="AN13" s="1658"/>
      <c r="AO13" s="1658"/>
      <c r="AP13" s="1658"/>
      <c r="AQ13" s="1658"/>
      <c r="AR13" s="1658"/>
      <c r="AS13" s="1658"/>
      <c r="AT13" s="1658"/>
      <c r="AU13" s="1658"/>
      <c r="AV13" s="1658"/>
      <c r="AW13" s="1658"/>
      <c r="AX13" s="1658"/>
      <c r="AY13" s="1658"/>
      <c r="AZ13" s="1658"/>
      <c r="BA13" s="1658"/>
      <c r="BB13" s="1658"/>
    </row>
    <row r="14" spans="1:54" ht="75" x14ac:dyDescent="0.25">
      <c r="A14" s="262"/>
      <c r="B14" s="2015" t="s">
        <v>421</v>
      </c>
      <c r="C14" s="2077" t="s">
        <v>1396</v>
      </c>
      <c r="D14" s="2036" t="s">
        <v>343</v>
      </c>
      <c r="E14" s="2036" t="s">
        <v>344</v>
      </c>
      <c r="F14" s="2072" t="str">
        <f>IF('Звіт   4,5,6'!E39=0,"Дані не введено",IF(G16="ПОМИЛКА","ПОМИЛКА",IF(AND(G15&gt;0,K15&lt;=0),"ПОМИЛКА",IF(AND(G15&gt;0),"ПРАВДА","ПРАВДА"))))</f>
        <v>ПРАВДА</v>
      </c>
      <c r="G14" s="1728" t="s">
        <v>1398</v>
      </c>
      <c r="H14" s="1728" t="s">
        <v>1399</v>
      </c>
      <c r="I14" s="1728" t="s">
        <v>1400</v>
      </c>
      <c r="J14" s="1728" t="s">
        <v>1401</v>
      </c>
      <c r="K14" s="1717" t="str">
        <f>I11</f>
        <v>Таблиця 13
Т13.2 Амортизація дооцінки
Значення не може бути від’ємним!</v>
      </c>
      <c r="L14" s="1729" t="s">
        <v>1387</v>
      </c>
      <c r="M14" s="1730"/>
      <c r="N14" s="1731"/>
      <c r="O14" s="1731"/>
      <c r="P14" s="265"/>
      <c r="Q14" s="265"/>
      <c r="R14" s="265"/>
      <c r="S14" s="1659"/>
      <c r="T14" s="1659"/>
      <c r="U14" s="1659"/>
      <c r="V14" s="1659"/>
      <c r="W14" s="1659"/>
      <c r="X14" s="1659"/>
      <c r="Y14" s="1659"/>
      <c r="Z14" s="1659"/>
      <c r="AA14" s="1659"/>
      <c r="AB14" s="1659"/>
      <c r="AC14" s="1659"/>
      <c r="AD14" s="1658"/>
      <c r="AE14" s="1658"/>
      <c r="AF14" s="1658"/>
      <c r="AG14" s="1658"/>
      <c r="AH14" s="1658"/>
      <c r="AI14" s="1658"/>
      <c r="AJ14" s="1658"/>
      <c r="AK14" s="1658"/>
      <c r="AL14" s="1658"/>
      <c r="AM14" s="1658"/>
      <c r="AN14" s="1658"/>
      <c r="AO14" s="1658"/>
      <c r="AP14" s="1658"/>
      <c r="AQ14" s="1658"/>
      <c r="AR14" s="1658"/>
      <c r="AS14" s="1658"/>
      <c r="AT14" s="1658"/>
      <c r="AU14" s="1658"/>
      <c r="AV14" s="1658"/>
      <c r="AW14" s="1658"/>
      <c r="AX14" s="1658"/>
      <c r="AY14" s="1658"/>
      <c r="AZ14" s="1658"/>
      <c r="BA14" s="1658"/>
      <c r="BB14" s="1658"/>
    </row>
    <row r="15" spans="1:54" ht="33" customHeight="1" thickBot="1" x14ac:dyDescent="0.3">
      <c r="A15" s="262"/>
      <c r="B15" s="2061"/>
      <c r="C15" s="2078"/>
      <c r="D15" s="2037"/>
      <c r="E15" s="2037"/>
      <c r="F15" s="2065"/>
      <c r="G15" s="1732">
        <f>ROUND('Звіт   9'!H51-'Звіт 10, 11,12,13,14'!F67/1000,1)</f>
        <v>0</v>
      </c>
      <c r="H15" s="1732">
        <f>ROUND('Звіт   9'!K51-'Звіт 10, 11,12,13,14'!K67/1000,1)</f>
        <v>0</v>
      </c>
      <c r="I15" s="1732">
        <f>ROUND(('Звіт 10, 11,12,13,14'!F66-'Звіт 10, 11,12,13,14'!F67)/1000,1)</f>
        <v>0</v>
      </c>
      <c r="J15" s="1732">
        <f>ROUND(('Звіт 10, 11,12,13,14'!K66-'Звіт 10, 11,12,13,14'!K67)/1000,1)</f>
        <v>0</v>
      </c>
      <c r="K15" s="1733">
        <f>I12</f>
        <v>0</v>
      </c>
      <c r="L15" s="1734">
        <f>'Звіт 10, 11,12,13,14'!L94+'Звіт 10, 11,12,13,14'!P94</f>
        <v>0</v>
      </c>
      <c r="M15" s="1730"/>
      <c r="N15" s="1730"/>
      <c r="O15" s="1730"/>
      <c r="P15" s="265"/>
      <c r="Q15" s="265"/>
      <c r="R15" s="265"/>
      <c r="S15" s="1659"/>
      <c r="T15" s="1659"/>
      <c r="U15" s="1659"/>
      <c r="V15" s="1659"/>
      <c r="W15" s="1659"/>
      <c r="X15" s="1659"/>
      <c r="Y15" s="1659"/>
      <c r="Z15" s="1659"/>
      <c r="AA15" s="1659"/>
      <c r="AB15" s="1659"/>
      <c r="AC15" s="1659"/>
      <c r="AD15" s="1658"/>
      <c r="AE15" s="1658"/>
      <c r="AF15" s="1658"/>
      <c r="AG15" s="1658"/>
      <c r="AH15" s="1658"/>
      <c r="AI15" s="1658"/>
      <c r="AJ15" s="1658"/>
      <c r="AK15" s="1658"/>
      <c r="AL15" s="1658"/>
      <c r="AM15" s="1658"/>
      <c r="AN15" s="1658"/>
      <c r="AO15" s="1658"/>
      <c r="AP15" s="1658"/>
      <c r="AQ15" s="1658"/>
      <c r="AR15" s="1658"/>
      <c r="AS15" s="1658"/>
      <c r="AT15" s="1658"/>
      <c r="AU15" s="1658"/>
      <c r="AV15" s="1658"/>
      <c r="AW15" s="1658"/>
      <c r="AX15" s="1658"/>
      <c r="AY15" s="1658"/>
      <c r="AZ15" s="1658"/>
      <c r="BA15" s="1658"/>
      <c r="BB15" s="1658"/>
    </row>
    <row r="16" spans="1:54" ht="31.5" customHeight="1" thickBot="1" x14ac:dyDescent="0.3">
      <c r="A16" s="262"/>
      <c r="B16" s="1696" t="s">
        <v>422</v>
      </c>
      <c r="C16" s="1735" t="s">
        <v>1493</v>
      </c>
      <c r="D16" s="1698" t="s">
        <v>343</v>
      </c>
      <c r="E16" s="1699" t="s">
        <v>344</v>
      </c>
      <c r="F16" s="266" t="str">
        <f>IF('Звіт   4,5,6'!E39=0,"Дані не введено",IF('Звіт   9'!H56&gt;=(0),"ПРАВДА","ПОМИЛКА"))</f>
        <v>ПРАВДА</v>
      </c>
      <c r="G16" s="1736" t="str">
        <f>IF(AND((G15-I15)&gt;=-1,(G15-I15)&lt;=1,(H15-J15)&gt;=-1,(H15-J15)&lt;=1,L15&lt;=1,L15&gt;=-1),"ПРАВДА","ПОМИЛКА")</f>
        <v>ПРАВДА</v>
      </c>
      <c r="H16" s="1737"/>
      <c r="I16" s="1738"/>
      <c r="J16" s="1725"/>
      <c r="K16" s="1725"/>
      <c r="L16" s="1725"/>
      <c r="M16" s="1725"/>
      <c r="N16" s="1725"/>
      <c r="O16" s="1725"/>
      <c r="P16" s="1726"/>
      <c r="Q16" s="1726"/>
      <c r="R16" s="1726"/>
      <c r="S16" s="1682"/>
      <c r="T16" s="1682"/>
      <c r="U16" s="1659"/>
      <c r="V16" s="1659"/>
      <c r="W16" s="1659"/>
      <c r="X16" s="1659"/>
      <c r="Y16" s="1659"/>
      <c r="Z16" s="1659"/>
      <c r="AA16" s="1659"/>
      <c r="AB16" s="1659"/>
      <c r="AC16" s="1659"/>
      <c r="AD16" s="1658"/>
      <c r="AE16" s="1658"/>
      <c r="AF16" s="1658"/>
      <c r="AG16" s="1658"/>
      <c r="AH16" s="1658"/>
      <c r="AI16" s="1658"/>
      <c r="AJ16" s="1658"/>
      <c r="AK16" s="1658"/>
      <c r="AL16" s="1658"/>
      <c r="AM16" s="1658"/>
      <c r="AN16" s="1658"/>
      <c r="AO16" s="1658"/>
      <c r="AP16" s="1658"/>
      <c r="AQ16" s="1658"/>
      <c r="AR16" s="1658"/>
      <c r="AS16" s="1658"/>
      <c r="AT16" s="1658"/>
      <c r="AU16" s="1658"/>
      <c r="AV16" s="1658"/>
      <c r="AW16" s="1658"/>
      <c r="AX16" s="1658"/>
      <c r="AY16" s="1658"/>
      <c r="AZ16" s="1658"/>
      <c r="BA16" s="1658"/>
      <c r="BB16" s="1658"/>
    </row>
    <row r="17" spans="1:54" ht="110.25" customHeight="1" x14ac:dyDescent="0.25">
      <c r="A17" s="262"/>
      <c r="B17" s="2138" t="s">
        <v>391</v>
      </c>
      <c r="C17" s="2114" t="s">
        <v>777</v>
      </c>
      <c r="D17" s="2036" t="s">
        <v>343</v>
      </c>
      <c r="E17" s="2098" t="s">
        <v>344</v>
      </c>
      <c r="F17" s="2072" t="str">
        <f>IF('Звіт   4,5,6'!E39=0,"Дані не введено",IF(O18="ПОМИЛКА","ПОМИЛКА",IF(AND(J18&lt;=1,J18&gt;=-1,N18&lt;=1,N18&gt;=-1,P18&gt;=0),"ПРАВДА","ПОМИЛКА")))</f>
        <v>ПРАВДА</v>
      </c>
      <c r="G17" s="1704" t="s">
        <v>628</v>
      </c>
      <c r="H17" s="1704" t="s">
        <v>775</v>
      </c>
      <c r="I17" s="1704" t="s">
        <v>803</v>
      </c>
      <c r="J17" s="1705" t="s">
        <v>1392</v>
      </c>
      <c r="K17" s="1704" t="s">
        <v>804</v>
      </c>
      <c r="L17" s="1739" t="s">
        <v>835</v>
      </c>
      <c r="M17" s="1704" t="s">
        <v>629</v>
      </c>
      <c r="N17" s="1708" t="s">
        <v>776</v>
      </c>
      <c r="O17" s="1740" t="s">
        <v>836</v>
      </c>
      <c r="P17" s="1717" t="s">
        <v>782</v>
      </c>
      <c r="Q17" s="1682"/>
      <c r="R17" s="1659"/>
      <c r="S17" s="1659"/>
      <c r="T17" s="1659"/>
      <c r="U17" s="1659"/>
      <c r="V17" s="1659"/>
      <c r="W17" s="1659"/>
      <c r="X17" s="1659"/>
      <c r="Y17" s="1659"/>
      <c r="Z17" s="1659"/>
      <c r="AA17" s="1658"/>
      <c r="AB17" s="1658"/>
      <c r="AC17" s="1658"/>
      <c r="AD17" s="1658"/>
      <c r="AE17" s="1658"/>
      <c r="AF17" s="1658"/>
      <c r="AG17" s="1658"/>
      <c r="AH17" s="1658"/>
      <c r="AI17" s="1658"/>
      <c r="AJ17" s="1658"/>
      <c r="AK17" s="1658"/>
      <c r="AL17" s="1658"/>
      <c r="AM17" s="1658"/>
      <c r="AN17" s="1658"/>
      <c r="AO17" s="1658"/>
      <c r="AP17" s="1658"/>
      <c r="AQ17" s="1658"/>
      <c r="AR17" s="1658"/>
      <c r="AS17" s="1658"/>
      <c r="AT17" s="1658"/>
      <c r="AU17" s="1658"/>
      <c r="AV17" s="1658"/>
      <c r="AW17" s="1658"/>
      <c r="AX17" s="1658"/>
      <c r="AY17" s="1658"/>
      <c r="AZ17" s="1658"/>
      <c r="BA17" s="1658"/>
      <c r="BB17" s="1658"/>
    </row>
    <row r="18" spans="1:54" ht="30" customHeight="1" thickBot="1" x14ac:dyDescent="0.35">
      <c r="A18" s="262"/>
      <c r="B18" s="2061"/>
      <c r="C18" s="2115"/>
      <c r="D18" s="2037"/>
      <c r="E18" s="2038"/>
      <c r="F18" s="2065"/>
      <c r="G18" s="1741">
        <f>ROUND(('Звіт   9'!H13),1)</f>
        <v>106.6</v>
      </c>
      <c r="H18" s="1741">
        <f>ROUND(('Звіт 1,2,3'!G70/1000),1)</f>
        <v>27.3</v>
      </c>
      <c r="I18" s="1741">
        <f>ROUND(('Звіт 10, 11,12,13,14'!M17/1000),1)</f>
        <v>27.3</v>
      </c>
      <c r="J18" s="1711">
        <f>ROUND((H18-I18),1)</f>
        <v>0</v>
      </c>
      <c r="K18" s="1741">
        <f>ROUND((('Звіт 10, 11,12,13,14'!R17+'Звіт 10, 11,12,13,14'!S17)/1000),1)</f>
        <v>73</v>
      </c>
      <c r="L18" s="1742">
        <f>ROUND((G18+H18-K18),1)</f>
        <v>60.9</v>
      </c>
      <c r="M18" s="1741">
        <f>ROUND('Звіт   9'!K13,1)</f>
        <v>60.9</v>
      </c>
      <c r="N18" s="1743">
        <f>ROUND((L18-M18),1)</f>
        <v>0</v>
      </c>
      <c r="O18" s="268" t="str">
        <f>'Звіт 10, 11,12,13,14'!AG17</f>
        <v>ПРАВДА</v>
      </c>
      <c r="P18" s="1744">
        <f>ROUND(('Звіт 10, 11,12,13,14'!I77/1000),1)</f>
        <v>0</v>
      </c>
      <c r="Q18" s="1659"/>
      <c r="R18" s="1659"/>
      <c r="S18" s="1659"/>
      <c r="T18" s="1659"/>
      <c r="U18" s="1659"/>
      <c r="V18" s="1659"/>
      <c r="W18" s="1659"/>
      <c r="X18" s="1659"/>
      <c r="Y18" s="1659"/>
      <c r="Z18" s="1659"/>
      <c r="AA18" s="1658"/>
      <c r="AB18" s="1658"/>
      <c r="AC18" s="1658"/>
      <c r="AD18" s="1658"/>
      <c r="AE18" s="1658"/>
      <c r="AF18" s="1658"/>
      <c r="AG18" s="1658"/>
      <c r="AH18" s="1658"/>
      <c r="AI18" s="1658"/>
      <c r="AJ18" s="1658"/>
      <c r="AK18" s="1658"/>
      <c r="AL18" s="1658"/>
      <c r="AM18" s="1658"/>
      <c r="AN18" s="1658"/>
      <c r="AO18" s="1658"/>
      <c r="AP18" s="1658"/>
      <c r="AQ18" s="1658"/>
      <c r="AR18" s="1658"/>
      <c r="AS18" s="1658"/>
      <c r="AT18" s="1658"/>
      <c r="AU18" s="1658"/>
      <c r="AV18" s="1658"/>
      <c r="AW18" s="1658"/>
      <c r="AX18" s="1658"/>
      <c r="AY18" s="1658"/>
      <c r="AZ18" s="1658"/>
      <c r="BA18" s="1658"/>
      <c r="BB18" s="1658"/>
    </row>
    <row r="19" spans="1:54" ht="93.75" x14ac:dyDescent="0.25">
      <c r="A19" s="262"/>
      <c r="B19" s="2015" t="s">
        <v>392</v>
      </c>
      <c r="C19" s="2093" t="s">
        <v>1391</v>
      </c>
      <c r="D19" s="2036" t="s">
        <v>343</v>
      </c>
      <c r="E19" s="2007" t="s">
        <v>344</v>
      </c>
      <c r="F19" s="2072" t="str">
        <f>IF('Звіт   4,5,6'!E39=0,"Дані не введено",IF(AND(M20&lt;=1,M20&gt;=-1,O20&lt;=1,O20&gt;=-1),"ПРАВДА","ПОМИЛКА"))</f>
        <v>ПРАВДА</v>
      </c>
      <c r="G19" s="1686" t="s">
        <v>779</v>
      </c>
      <c r="H19" s="1686" t="s">
        <v>778</v>
      </c>
      <c r="I19" s="1704" t="s">
        <v>780</v>
      </c>
      <c r="J19" s="1686" t="s">
        <v>1383</v>
      </c>
      <c r="K19" s="1686" t="s">
        <v>1389</v>
      </c>
      <c r="L19" s="1745" t="s">
        <v>1384</v>
      </c>
      <c r="M19" s="1746" t="s">
        <v>1388</v>
      </c>
      <c r="N19" s="1704" t="s">
        <v>781</v>
      </c>
      <c r="O19" s="1746" t="s">
        <v>1390</v>
      </c>
      <c r="P19" s="1659"/>
      <c r="Q19" s="1659"/>
      <c r="R19" s="1659"/>
      <c r="S19" s="1659"/>
      <c r="T19" s="1659"/>
      <c r="U19" s="1659"/>
      <c r="V19" s="1659"/>
      <c r="W19" s="1659"/>
      <c r="X19" s="1659"/>
      <c r="Y19" s="1659"/>
      <c r="Z19" s="1659"/>
      <c r="AA19" s="1659"/>
      <c r="AB19" s="1659"/>
      <c r="AC19" s="1659"/>
      <c r="AD19" s="1658"/>
      <c r="AE19" s="1658"/>
      <c r="AF19" s="1658"/>
      <c r="AG19" s="1658"/>
      <c r="AH19" s="1658"/>
      <c r="AI19" s="1658"/>
      <c r="AJ19" s="1658"/>
      <c r="AK19" s="1658"/>
      <c r="AL19" s="1658"/>
      <c r="AM19" s="1658"/>
      <c r="AN19" s="1658"/>
      <c r="AO19" s="1658"/>
      <c r="AP19" s="1658"/>
      <c r="AQ19" s="1658"/>
      <c r="AR19" s="1658"/>
      <c r="AS19" s="1658"/>
      <c r="AT19" s="1658"/>
      <c r="AU19" s="1658"/>
      <c r="AV19" s="1658"/>
      <c r="AW19" s="1658"/>
      <c r="AX19" s="1658"/>
      <c r="AY19" s="1658"/>
      <c r="AZ19" s="1658"/>
      <c r="BA19" s="1658"/>
      <c r="BB19" s="1658"/>
    </row>
    <row r="20" spans="1:54" ht="31.5" customHeight="1" thickBot="1" x14ac:dyDescent="0.3">
      <c r="A20" s="262"/>
      <c r="B20" s="2099"/>
      <c r="C20" s="2131"/>
      <c r="D20" s="2082"/>
      <c r="E20" s="2102"/>
      <c r="F20" s="2076"/>
      <c r="G20" s="1747">
        <f>ROUND(('Звіт   9'!H12+'Звіт   9'!H16),1)</f>
        <v>-39104.1</v>
      </c>
      <c r="H20" s="1747">
        <f>ROUND(('Звіт   9'!K12+'Звіт   9'!K16),1)</f>
        <v>-39127</v>
      </c>
      <c r="I20" s="1747">
        <f>ROUND((('Звіт 10, 11,12,13,14'!R12+'Звіт 10, 11,12,13,14'!R15+'Звіт 10, 11,12,13,14'!R21+'Звіт 10, 11,12,13,14'!R24)/1000),1)</f>
        <v>118</v>
      </c>
      <c r="J20" s="1748">
        <f>ROUND(-(G20-H20)+I20,1)</f>
        <v>95.1</v>
      </c>
      <c r="K20" s="1749">
        <f>ROUND('Звіт   4,5,6'!E88/1000,1)</f>
        <v>118</v>
      </c>
      <c r="L20" s="1749">
        <f>ROUND(('Звіт 10, 11,12,13,14'!R12+'Звіт 10, 11,12,13,14'!R15+'Звіт 10, 11,12,13,14'!R21+'Звіт 10, 11,12,13,14'!R24-'Звіт 10, 11,12,13,14'!G86)/1000,1)</f>
        <v>118</v>
      </c>
      <c r="M20" s="1750">
        <f>ROUND((K20-L20),1)</f>
        <v>0</v>
      </c>
      <c r="N20" s="1748">
        <f>ROUND((('Звіт 10, 11,12,13,14'!M12+'Звіт 10, 11,12,13,14'!M21+'Звіт 10, 11,12,13,14'!M15+'Звіт 10, 11,12,13,14'!M24)/1000),1)</f>
        <v>95.1</v>
      </c>
      <c r="O20" s="1750">
        <f>ROUND((J20-N20),1)</f>
        <v>0</v>
      </c>
      <c r="P20" s="1659"/>
      <c r="Q20" s="1659"/>
      <c r="R20" s="1659"/>
      <c r="S20" s="1659"/>
      <c r="T20" s="1659"/>
      <c r="U20" s="1659"/>
      <c r="V20" s="1659"/>
      <c r="W20" s="1659"/>
      <c r="X20" s="1659"/>
      <c r="Y20" s="1659"/>
      <c r="Z20" s="1659"/>
      <c r="AA20" s="1659"/>
      <c r="AB20" s="1659"/>
      <c r="AC20" s="1659"/>
      <c r="AD20" s="1658"/>
      <c r="AE20" s="1658"/>
      <c r="AF20" s="1658"/>
      <c r="AG20" s="1658"/>
      <c r="AH20" s="1658"/>
      <c r="AI20" s="1658"/>
      <c r="AJ20" s="1658"/>
      <c r="AK20" s="1658"/>
      <c r="AL20" s="1658"/>
      <c r="AM20" s="1658"/>
      <c r="AN20" s="1658"/>
      <c r="AO20" s="1658"/>
      <c r="AP20" s="1658"/>
      <c r="AQ20" s="1658"/>
      <c r="AR20" s="1658"/>
      <c r="AS20" s="1658"/>
      <c r="AT20" s="1658"/>
      <c r="AU20" s="1658"/>
      <c r="AV20" s="1658"/>
      <c r="AW20" s="1658"/>
      <c r="AX20" s="1658"/>
      <c r="AY20" s="1658"/>
      <c r="AZ20" s="1658"/>
      <c r="BA20" s="1658"/>
      <c r="BB20" s="1658"/>
    </row>
    <row r="21" spans="1:54" ht="71.25" customHeight="1" x14ac:dyDescent="0.25">
      <c r="A21" s="262"/>
      <c r="B21" s="2015" t="s">
        <v>393</v>
      </c>
      <c r="C21" s="2077" t="s">
        <v>352</v>
      </c>
      <c r="D21" s="2036" t="s">
        <v>343</v>
      </c>
      <c r="E21" s="2007" t="s">
        <v>349</v>
      </c>
      <c r="F21" s="2072" t="str">
        <f>IF('Звіт   4,5,6'!E39=0,"Дані не введено",IF(AND(G22&gt;H22,I22&gt;0),"ПРАВДА","ПОМИЛКА"))</f>
        <v>ПРАВДА</v>
      </c>
      <c r="G21" s="1704" t="s">
        <v>565</v>
      </c>
      <c r="H21" s="1704" t="s">
        <v>566</v>
      </c>
      <c r="I21" s="1740" t="str">
        <f>K19</f>
        <v>Таблиця 5.1, р. 1.1.6 
гр. 4
Амортизація</v>
      </c>
      <c r="J21" s="1659"/>
      <c r="K21" s="1659"/>
      <c r="L21" s="1659"/>
      <c r="M21" s="1659"/>
      <c r="N21" s="1659"/>
      <c r="O21" s="1659"/>
      <c r="P21" s="1659"/>
      <c r="Q21" s="1659"/>
      <c r="R21" s="1659"/>
      <c r="S21" s="1659"/>
      <c r="T21" s="1659"/>
      <c r="U21" s="1659"/>
      <c r="V21" s="1659"/>
      <c r="W21" s="1659"/>
      <c r="X21" s="1659"/>
      <c r="Y21" s="1659"/>
      <c r="Z21" s="1659"/>
      <c r="AA21" s="1659"/>
      <c r="AB21" s="1659"/>
      <c r="AC21" s="1659"/>
      <c r="AD21" s="1658"/>
      <c r="AE21" s="1658"/>
      <c r="AF21" s="1658"/>
      <c r="AG21" s="1658"/>
      <c r="AH21" s="1658"/>
      <c r="AI21" s="1658"/>
      <c r="AJ21" s="1658"/>
      <c r="AK21" s="1658"/>
      <c r="AL21" s="1658"/>
      <c r="AM21" s="1658"/>
      <c r="AN21" s="1658"/>
      <c r="AO21" s="1658"/>
      <c r="AP21" s="1658"/>
      <c r="AQ21" s="1658"/>
      <c r="AR21" s="1658"/>
      <c r="AS21" s="1658"/>
      <c r="AT21" s="1658"/>
      <c r="AU21" s="1658"/>
      <c r="AV21" s="1658"/>
      <c r="AW21" s="1658"/>
      <c r="AX21" s="1658"/>
      <c r="AY21" s="1658"/>
      <c r="AZ21" s="1658"/>
      <c r="BA21" s="1658"/>
      <c r="BB21" s="1658"/>
    </row>
    <row r="22" spans="1:54" ht="31.5" customHeight="1" thickBot="1" x14ac:dyDescent="0.3">
      <c r="A22" s="262"/>
      <c r="B22" s="2061"/>
      <c r="C22" s="2078"/>
      <c r="D22" s="2037"/>
      <c r="E22" s="2038"/>
      <c r="F22" s="2065"/>
      <c r="G22" s="1712">
        <f>'Звіт   9'!H11+'Звіт   9'!H15</f>
        <v>87512.2</v>
      </c>
      <c r="H22" s="1712">
        <f>-('Звіт   9'!H12+'Звіт   9'!H16)</f>
        <v>39104.1</v>
      </c>
      <c r="I22" s="1751">
        <f>ROUND(('Звіт   4,5,6'!E88/1000),1)</f>
        <v>118</v>
      </c>
      <c r="J22" s="1659"/>
      <c r="K22" s="1659"/>
      <c r="L22" s="1659"/>
      <c r="M22" s="1659"/>
      <c r="N22" s="1659"/>
      <c r="O22" s="1659"/>
      <c r="P22" s="1659"/>
      <c r="Q22" s="1659"/>
      <c r="R22" s="1659"/>
      <c r="S22" s="1659"/>
      <c r="T22" s="1659"/>
      <c r="U22" s="1659"/>
      <c r="V22" s="1659"/>
      <c r="W22" s="1659"/>
      <c r="X22" s="1659"/>
      <c r="Y22" s="1659"/>
      <c r="Z22" s="1659"/>
      <c r="AA22" s="1659"/>
      <c r="AB22" s="1659"/>
      <c r="AC22" s="1659"/>
      <c r="AD22" s="1658"/>
      <c r="AE22" s="1658"/>
      <c r="AF22" s="1658"/>
      <c r="AG22" s="1658"/>
      <c r="AH22" s="1658"/>
      <c r="AI22" s="1658"/>
      <c r="AJ22" s="1658"/>
      <c r="AK22" s="1658"/>
      <c r="AL22" s="1658"/>
      <c r="AM22" s="1658"/>
      <c r="AN22" s="1658"/>
      <c r="AO22" s="1658"/>
      <c r="AP22" s="1658"/>
      <c r="AQ22" s="1658"/>
      <c r="AR22" s="1658"/>
      <c r="AS22" s="1658"/>
      <c r="AT22" s="1658"/>
      <c r="AU22" s="1658"/>
      <c r="AV22" s="1658"/>
      <c r="AW22" s="1658"/>
      <c r="AX22" s="1658"/>
      <c r="AY22" s="1658"/>
      <c r="AZ22" s="1658"/>
      <c r="BA22" s="1658"/>
      <c r="BB22" s="1658"/>
    </row>
    <row r="23" spans="1:54" s="745" customFormat="1" ht="25.5" customHeight="1" thickBot="1" x14ac:dyDescent="0.35">
      <c r="A23" s="264"/>
      <c r="B23" s="1752"/>
      <c r="C23" s="1753" t="s">
        <v>353</v>
      </c>
      <c r="D23" s="1754"/>
      <c r="E23" s="1752"/>
      <c r="F23" s="1755"/>
      <c r="G23" s="1756"/>
      <c r="H23" s="1756"/>
      <c r="I23" s="1756"/>
      <c r="J23" s="1726"/>
      <c r="K23" s="1726"/>
      <c r="L23" s="1726"/>
      <c r="M23" s="1726"/>
      <c r="N23" s="1726"/>
      <c r="O23" s="1726"/>
      <c r="P23" s="1726"/>
      <c r="Q23" s="1726"/>
      <c r="R23" s="1726"/>
      <c r="S23" s="1726"/>
      <c r="T23" s="1726"/>
      <c r="U23" s="1726"/>
      <c r="V23" s="1726"/>
      <c r="W23" s="1726"/>
      <c r="X23" s="1726"/>
      <c r="Y23" s="1726"/>
      <c r="Z23" s="1726"/>
      <c r="AA23" s="1726"/>
      <c r="AB23" s="1726"/>
      <c r="AC23" s="1726"/>
      <c r="AD23" s="1756"/>
      <c r="AE23" s="1756"/>
      <c r="AF23" s="1756"/>
      <c r="AG23" s="1756"/>
      <c r="AH23" s="1756"/>
      <c r="AI23" s="1756"/>
      <c r="AJ23" s="1756"/>
      <c r="AK23" s="1756"/>
      <c r="AL23" s="1756"/>
      <c r="AM23" s="1756"/>
      <c r="AN23" s="1756"/>
      <c r="AO23" s="1756"/>
      <c r="AP23" s="1756"/>
      <c r="AQ23" s="1756"/>
      <c r="AR23" s="1756"/>
      <c r="AS23" s="1756"/>
      <c r="AT23" s="1756"/>
      <c r="AU23" s="1756"/>
      <c r="AV23" s="1756"/>
      <c r="AW23" s="1756"/>
      <c r="AX23" s="1756"/>
      <c r="AY23" s="1756"/>
      <c r="AZ23" s="1756"/>
      <c r="BA23" s="1756"/>
      <c r="BB23" s="1756"/>
    </row>
    <row r="24" spans="1:54" s="745" customFormat="1" ht="92.25" customHeight="1" thickBot="1" x14ac:dyDescent="0.4">
      <c r="A24" s="264"/>
      <c r="B24" s="1752"/>
      <c r="C24" s="1753"/>
      <c r="D24" s="1754"/>
      <c r="E24" s="1752"/>
      <c r="F24" s="1755"/>
      <c r="G24" s="1757" t="s">
        <v>1701</v>
      </c>
      <c r="H24" s="1758" t="s">
        <v>1846</v>
      </c>
      <c r="I24" s="1685" t="s">
        <v>1850</v>
      </c>
      <c r="J24" s="1759" t="s">
        <v>1849</v>
      </c>
      <c r="K24" s="2176" t="s">
        <v>1639</v>
      </c>
      <c r="L24" s="2176"/>
      <c r="M24" s="2176"/>
      <c r="N24" s="2176"/>
      <c r="O24" s="1726"/>
      <c r="P24" s="1726"/>
      <c r="Q24" s="1726"/>
      <c r="R24" s="1726"/>
      <c r="S24" s="1726"/>
      <c r="T24" s="1726"/>
      <c r="U24" s="1726"/>
      <c r="V24" s="1726"/>
      <c r="W24" s="1726"/>
      <c r="X24" s="1726"/>
      <c r="Y24" s="1726"/>
      <c r="Z24" s="1726"/>
      <c r="AA24" s="1726"/>
      <c r="AB24" s="1726"/>
      <c r="AC24" s="1726"/>
      <c r="AD24" s="1756"/>
      <c r="AE24" s="1756"/>
      <c r="AF24" s="1756"/>
      <c r="AG24" s="1756"/>
      <c r="AH24" s="1756"/>
      <c r="AI24" s="1756"/>
      <c r="AJ24" s="1756"/>
      <c r="AK24" s="1756"/>
      <c r="AL24" s="1756"/>
      <c r="AM24" s="1756"/>
      <c r="AN24" s="1756"/>
      <c r="AO24" s="1756"/>
      <c r="AP24" s="1756"/>
      <c r="AQ24" s="1756"/>
      <c r="AR24" s="1756"/>
      <c r="AS24" s="1756"/>
      <c r="AT24" s="1756"/>
      <c r="AU24" s="1756"/>
      <c r="AV24" s="1756"/>
      <c r="AW24" s="1756"/>
      <c r="AX24" s="1756"/>
      <c r="AY24" s="1756"/>
      <c r="AZ24" s="1756"/>
      <c r="BA24" s="1756"/>
      <c r="BB24" s="1756"/>
    </row>
    <row r="25" spans="1:54" ht="100.5" customHeight="1" thickBot="1" x14ac:dyDescent="0.3">
      <c r="A25" s="262"/>
      <c r="B25" s="1760" t="s">
        <v>423</v>
      </c>
      <c r="C25" s="1761" t="s">
        <v>1843</v>
      </c>
      <c r="D25" s="1762" t="s">
        <v>343</v>
      </c>
      <c r="E25" s="1763" t="s">
        <v>344</v>
      </c>
      <c r="F25" s="1764" t="str">
        <f>IF('Звіт   4,5,6'!E39=0,"Дані не введено",IF(('Звіт 1,2,3'!I19+'Звіт 1,2,3'!K19)/1000=0,"ПОМИЛКА",IF(OR(I25="ПОМИЛКА",N25="ПОМИЛКА",J25="ПОМИЛКА",H25="ПОМИЛКА",G25&lt;=0),"ПОМИЛКА","ПРАВДА")))</f>
        <v>ПРАВДА</v>
      </c>
      <c r="G25" s="1765">
        <f>'Звіт 1,2,3'!H19/1000</f>
        <v>14296.308999999999</v>
      </c>
      <c r="H25" s="1766" t="str">
        <f>IF('Звіт   4,5,6'!E39=0,"Дані не введено",IF(('Звіт 1,2,3'!I19+'Звіт 1,2,3'!K19)/1000=0,"ПОМИЛКА","ПРАВДА"))</f>
        <v>ПРАВДА</v>
      </c>
      <c r="I25" s="1766" t="str">
        <f>'Звіт 1,2,3'!R19</f>
        <v>ПРАВДА</v>
      </c>
      <c r="J25" s="1767" t="str">
        <f>'Звіт 1,2,3'!W19</f>
        <v>ПРАВДА</v>
      </c>
      <c r="K25" s="1768">
        <f>COUNTIF('Звіт 1,2,3'!F70:O82,"&lt;0")</f>
        <v>0</v>
      </c>
      <c r="L25" s="1768">
        <f>COUNTIF('Звіт 1,2,3'!I54:I58,"&lt;0")</f>
        <v>0</v>
      </c>
      <c r="M25" s="1768">
        <f>COUNTIF('Звіт 1,2,3'!F19:O47,"&lt;0")</f>
        <v>0</v>
      </c>
      <c r="N25" s="1568" t="str">
        <f>IF('Звіт   4,5,6'!E39=0,"Дані не введено",IF(OR(M25&gt;=1,K25&gt;=1,L25&gt;=1),"ПОМИЛКА","ПРАВДА"))</f>
        <v>ПРАВДА</v>
      </c>
      <c r="O25" s="1659"/>
      <c r="P25" s="1659"/>
      <c r="Q25" s="1659"/>
      <c r="R25" s="1659"/>
      <c r="S25" s="1659"/>
      <c r="T25" s="1659"/>
      <c r="U25" s="1659"/>
      <c r="V25" s="1659"/>
      <c r="W25" s="1659"/>
      <c r="X25" s="1659"/>
      <c r="Y25" s="1659"/>
      <c r="Z25" s="1659"/>
      <c r="AA25" s="1659"/>
      <c r="AB25" s="1659"/>
      <c r="AC25" s="1659"/>
      <c r="AD25" s="1658"/>
      <c r="AE25" s="1658"/>
      <c r="AF25" s="1658"/>
      <c r="AG25" s="1658"/>
      <c r="AH25" s="1658"/>
      <c r="AI25" s="1658"/>
      <c r="AJ25" s="1658"/>
      <c r="AK25" s="1658"/>
      <c r="AL25" s="1658"/>
      <c r="AM25" s="1658"/>
      <c r="AN25" s="1658"/>
      <c r="AO25" s="1658"/>
      <c r="AP25" s="1658"/>
      <c r="AQ25" s="1658"/>
      <c r="AR25" s="1658"/>
      <c r="AS25" s="1658"/>
      <c r="AT25" s="1658"/>
      <c r="AU25" s="1658"/>
      <c r="AV25" s="1658"/>
      <c r="AW25" s="1658"/>
      <c r="AX25" s="1658"/>
      <c r="AY25" s="1658"/>
      <c r="AZ25" s="1658"/>
      <c r="BA25" s="1658"/>
      <c r="BB25" s="1658"/>
    </row>
    <row r="26" spans="1:54" ht="93.75" x14ac:dyDescent="0.25">
      <c r="A26" s="262"/>
      <c r="B26" s="2015" t="s">
        <v>394</v>
      </c>
      <c r="C26" s="2118" t="s">
        <v>1640</v>
      </c>
      <c r="D26" s="2036" t="s">
        <v>343</v>
      </c>
      <c r="E26" s="2036" t="s">
        <v>349</v>
      </c>
      <c r="F26" s="2072" t="str">
        <f>IF('Звіт   4,5,6'!E39=0,"Дані не введено",IF(AND(H27&gt;0,G27&lt;H27),"ПОМИЛКА",IF(G27/IF(H27=0,1,H27)&gt;1.2,"ПОМИЛКА",IF(AND(K27&gt;0,J27&lt;K27),"ПОМИЛКА",IF(J27/IF(K27=0,1,K27)&gt;1.2,"ПОМИЛКА",IF(AND(N27&gt;0,M27&lt;N27),"ПОМИЛКА",IF(M27/IF(N27=0,1,N27)&gt;1.2,"ПОМИЛКА","ПРАВДА")))))))</f>
        <v>ПРАВДА</v>
      </c>
      <c r="G26" s="1728" t="s">
        <v>1413</v>
      </c>
      <c r="H26" s="1728" t="s">
        <v>569</v>
      </c>
      <c r="I26" s="1769" t="s">
        <v>1641</v>
      </c>
      <c r="J26" s="1728" t="s">
        <v>1408</v>
      </c>
      <c r="K26" s="1728" t="s">
        <v>570</v>
      </c>
      <c r="L26" s="1769" t="s">
        <v>1641</v>
      </c>
      <c r="M26" s="1728" t="s">
        <v>1407</v>
      </c>
      <c r="N26" s="1770" t="s">
        <v>1702</v>
      </c>
      <c r="O26" s="1771" t="s">
        <v>1641</v>
      </c>
      <c r="P26" s="1659"/>
      <c r="Q26" s="1659"/>
      <c r="R26" s="1659"/>
      <c r="S26" s="1659"/>
      <c r="T26" s="1659"/>
      <c r="U26" s="1659"/>
      <c r="V26" s="1659"/>
      <c r="W26" s="1659"/>
      <c r="X26" s="1659"/>
      <c r="Y26" s="1659"/>
      <c r="Z26" s="1659"/>
      <c r="AA26" s="1659"/>
      <c r="AB26" s="1659"/>
      <c r="AC26" s="1659"/>
      <c r="AD26" s="1658"/>
      <c r="AE26" s="1658"/>
      <c r="AF26" s="1658"/>
      <c r="AG26" s="1658"/>
      <c r="AH26" s="1658"/>
      <c r="AI26" s="1658"/>
      <c r="AJ26" s="1658"/>
      <c r="AK26" s="1658"/>
      <c r="AL26" s="1658"/>
      <c r="AM26" s="1658"/>
      <c r="AN26" s="1658"/>
      <c r="AO26" s="1658"/>
      <c r="AP26" s="1658"/>
      <c r="AQ26" s="1658"/>
      <c r="AR26" s="1658"/>
      <c r="AS26" s="1658"/>
      <c r="AT26" s="1658"/>
      <c r="AU26" s="1658"/>
      <c r="AV26" s="1658"/>
      <c r="AW26" s="1658"/>
      <c r="AX26" s="1658"/>
      <c r="AY26" s="1658"/>
      <c r="AZ26" s="1658"/>
      <c r="BA26" s="1658"/>
      <c r="BB26" s="1658"/>
    </row>
    <row r="27" spans="1:54" ht="36.75" customHeight="1" thickBot="1" x14ac:dyDescent="0.3">
      <c r="A27" s="262"/>
      <c r="B27" s="2061"/>
      <c r="C27" s="2119"/>
      <c r="D27" s="2037"/>
      <c r="E27" s="2037"/>
      <c r="F27" s="2065"/>
      <c r="G27" s="1742">
        <f>ROUND(('Звіт 1,2,3'!J19/1000),1)</f>
        <v>9068.2999999999993</v>
      </c>
      <c r="H27" s="1742">
        <f>ROUND((('Звіт 1,2,3'!J29+'Звіт 1,2,3'!J70)/1000),1)</f>
        <v>9068.2999999999993</v>
      </c>
      <c r="I27" s="1772">
        <f>G27*100/H27</f>
        <v>100</v>
      </c>
      <c r="J27" s="1742">
        <f>ROUND(('Звіт 1,2,3'!L19/1000),1)</f>
        <v>0.1</v>
      </c>
      <c r="K27" s="1742">
        <f>ROUND((('Звіт 1,2,3'!L29+'Звіт 1,2,3'!L70)/1000),1)</f>
        <v>0.1</v>
      </c>
      <c r="L27" s="1772">
        <f>J27*100/K27</f>
        <v>100</v>
      </c>
      <c r="M27" s="1742">
        <f>ROUND(('Звіт 1,2,3'!N19/1000),1)</f>
        <v>477.4</v>
      </c>
      <c r="N27" s="1773">
        <f>ROUND((('Звіт 1,2,3'!N29+'Звіт 1,2,3'!N70+'Звіт   4,5,6'!H17)/1000),1)</f>
        <v>477.4</v>
      </c>
      <c r="O27" s="1711">
        <f>M27*100/N27</f>
        <v>100</v>
      </c>
      <c r="P27" s="1659"/>
      <c r="Q27" s="1659"/>
      <c r="R27" s="1659"/>
      <c r="S27" s="1659"/>
      <c r="T27" s="1659"/>
      <c r="U27" s="1659"/>
      <c r="V27" s="1659"/>
      <c r="W27" s="1659"/>
      <c r="X27" s="1659"/>
      <c r="Y27" s="1659"/>
      <c r="Z27" s="1659"/>
      <c r="AA27" s="1659"/>
      <c r="AB27" s="1659"/>
      <c r="AC27" s="1659"/>
      <c r="AD27" s="1658"/>
      <c r="AE27" s="1658"/>
      <c r="AF27" s="1658"/>
      <c r="AG27" s="1658"/>
      <c r="AH27" s="1658"/>
      <c r="AI27" s="1658"/>
      <c r="AJ27" s="1658"/>
      <c r="AK27" s="1658"/>
      <c r="AL27" s="1658"/>
      <c r="AM27" s="1658"/>
      <c r="AN27" s="1658"/>
      <c r="AO27" s="1658"/>
      <c r="AP27" s="1658"/>
      <c r="AQ27" s="1658"/>
      <c r="AR27" s="1658"/>
      <c r="AS27" s="1658"/>
      <c r="AT27" s="1658"/>
      <c r="AU27" s="1658"/>
      <c r="AV27" s="1658"/>
      <c r="AW27" s="1658"/>
      <c r="AX27" s="1658"/>
      <c r="AY27" s="1658"/>
      <c r="AZ27" s="1658"/>
      <c r="BA27" s="1658"/>
      <c r="BB27" s="1658"/>
    </row>
    <row r="28" spans="1:54" ht="75" x14ac:dyDescent="0.25">
      <c r="A28" s="262"/>
      <c r="B28" s="2015" t="s">
        <v>395</v>
      </c>
      <c r="C28" s="2118" t="s">
        <v>1638</v>
      </c>
      <c r="D28" s="2036" t="s">
        <v>343</v>
      </c>
      <c r="E28" s="2007" t="s">
        <v>349</v>
      </c>
      <c r="F28" s="2072" t="str">
        <f>IF('Звіт   4,5,6'!E39=0,"Дані не введено",IF(-(I29+L29+O29)&lt;=P29,"ПРАВДА",IF(AND(I29&gt;=0,L29&gt;=0,O29&gt;=0),"ПРАВДА","ПОМИЛКА")))</f>
        <v>ПРАВДА</v>
      </c>
      <c r="G28" s="1728" t="s">
        <v>571</v>
      </c>
      <c r="H28" s="1728" t="s">
        <v>573</v>
      </c>
      <c r="I28" s="1708" t="s">
        <v>535</v>
      </c>
      <c r="J28" s="1728" t="s">
        <v>572</v>
      </c>
      <c r="K28" s="1728" t="s">
        <v>574</v>
      </c>
      <c r="L28" s="1708" t="s">
        <v>535</v>
      </c>
      <c r="M28" s="1774" t="s">
        <v>1636</v>
      </c>
      <c r="N28" s="1774" t="s">
        <v>1637</v>
      </c>
      <c r="O28" s="1708" t="s">
        <v>535</v>
      </c>
      <c r="P28" s="1775" t="s">
        <v>1654</v>
      </c>
      <c r="Q28" s="1659"/>
      <c r="R28" s="1659"/>
      <c r="S28" s="1659"/>
      <c r="T28" s="1659"/>
      <c r="U28" s="1659"/>
      <c r="V28" s="1659"/>
      <c r="W28" s="1659"/>
      <c r="X28" s="1659"/>
      <c r="Y28" s="1659"/>
      <c r="Z28" s="1659"/>
      <c r="AA28" s="1659"/>
      <c r="AB28" s="1659"/>
      <c r="AC28" s="1659"/>
      <c r="AD28" s="1658"/>
      <c r="AE28" s="1658"/>
      <c r="AF28" s="1658"/>
      <c r="AG28" s="1658"/>
      <c r="AH28" s="1658"/>
      <c r="AI28" s="1658"/>
      <c r="AJ28" s="1658"/>
      <c r="AK28" s="1658"/>
      <c r="AL28" s="1658"/>
      <c r="AM28" s="1658"/>
      <c r="AN28" s="1658"/>
      <c r="AO28" s="1658"/>
      <c r="AP28" s="1658"/>
      <c r="AQ28" s="1658"/>
      <c r="AR28" s="1658"/>
      <c r="AS28" s="1658"/>
      <c r="AT28" s="1658"/>
      <c r="AU28" s="1658"/>
      <c r="AV28" s="1658"/>
      <c r="AW28" s="1658"/>
      <c r="AX28" s="1658"/>
      <c r="AY28" s="1658"/>
      <c r="AZ28" s="1658"/>
      <c r="BA28" s="1658"/>
      <c r="BB28" s="1658"/>
    </row>
    <row r="29" spans="1:54" ht="30" customHeight="1" thickBot="1" x14ac:dyDescent="0.3">
      <c r="A29" s="262"/>
      <c r="B29" s="2061"/>
      <c r="C29" s="2119"/>
      <c r="D29" s="2037"/>
      <c r="E29" s="2038"/>
      <c r="F29" s="2065"/>
      <c r="G29" s="1776">
        <f>ROUND(('Звіт 1,2,3'!I19/1000),1)</f>
        <v>0</v>
      </c>
      <c r="H29" s="1776">
        <f>ROUND((('Звіт 1,2,3'!I29+'Звіт 1,2,3'!I70)/1000),1)</f>
        <v>0</v>
      </c>
      <c r="I29" s="1772">
        <f>ROUND((G29-H29),1)</f>
        <v>0</v>
      </c>
      <c r="J29" s="1742">
        <f>ROUND(('Звіт 1,2,3'!K19/1000),1)</f>
        <v>3192</v>
      </c>
      <c r="K29" s="1742">
        <f>ROUND((('Звіт 1,2,3'!K29+'Звіт 1,2,3'!K70)/1000),1)</f>
        <v>0</v>
      </c>
      <c r="L29" s="1772">
        <f>ROUND((J29-K29),1)</f>
        <v>3192</v>
      </c>
      <c r="M29" s="1777">
        <f>ROUND(('Звіт 1,2,3'!M19/1000),1)</f>
        <v>61.3</v>
      </c>
      <c r="N29" s="1777">
        <f>ROUND((('Звіт 1,2,3'!M29+'Звіт 1,2,3'!M70)/1000),1)</f>
        <v>61.3</v>
      </c>
      <c r="O29" s="1772">
        <f>ROUND((M29-N29),1)</f>
        <v>0</v>
      </c>
      <c r="P29" s="1778">
        <f>ROUND(('Звіт   9'!H68),1)</f>
        <v>0</v>
      </c>
      <c r="Q29" s="1659"/>
      <c r="R29" s="1659"/>
      <c r="S29" s="1659"/>
      <c r="T29" s="1659"/>
      <c r="U29" s="1659"/>
      <c r="V29" s="1659"/>
      <c r="W29" s="1659"/>
      <c r="X29" s="1659"/>
      <c r="Y29" s="1659"/>
      <c r="Z29" s="1659"/>
      <c r="AA29" s="1659"/>
      <c r="AB29" s="1659"/>
      <c r="AC29" s="1659"/>
      <c r="AD29" s="1658"/>
      <c r="AE29" s="1658"/>
      <c r="AF29" s="1658"/>
      <c r="AG29" s="1658"/>
      <c r="AH29" s="1658"/>
      <c r="AI29" s="1658"/>
      <c r="AJ29" s="1658"/>
      <c r="AK29" s="1658"/>
      <c r="AL29" s="1658"/>
      <c r="AM29" s="1658"/>
      <c r="AN29" s="1658"/>
      <c r="AO29" s="1658"/>
      <c r="AP29" s="1658"/>
      <c r="AQ29" s="1658"/>
      <c r="AR29" s="1658"/>
      <c r="AS29" s="1658"/>
      <c r="AT29" s="1658"/>
      <c r="AU29" s="1658"/>
      <c r="AV29" s="1658"/>
      <c r="AW29" s="1658"/>
      <c r="AX29" s="1658"/>
      <c r="AY29" s="1658"/>
      <c r="AZ29" s="1658"/>
      <c r="BA29" s="1658"/>
      <c r="BB29" s="1658"/>
    </row>
    <row r="30" spans="1:54" s="745" customFormat="1" ht="73.5" customHeight="1" thickBot="1" x14ac:dyDescent="0.3">
      <c r="A30" s="264"/>
      <c r="B30" s="1722"/>
      <c r="C30" s="1779"/>
      <c r="D30" s="1722"/>
      <c r="E30" s="1722"/>
      <c r="F30" s="1651"/>
      <c r="G30" s="1780" t="s">
        <v>1703</v>
      </c>
      <c r="H30" s="1781" t="s">
        <v>1704</v>
      </c>
      <c r="I30" s="1756"/>
      <c r="J30" s="1682"/>
      <c r="K30" s="1682"/>
      <c r="L30" s="1682"/>
      <c r="M30" s="1682"/>
      <c r="N30" s="1682"/>
      <c r="O30" s="1682"/>
      <c r="P30" s="1682"/>
      <c r="Q30" s="1682"/>
      <c r="R30" s="1682"/>
      <c r="S30" s="1682"/>
      <c r="T30" s="1682"/>
      <c r="U30" s="1682"/>
      <c r="V30" s="1682"/>
      <c r="W30" s="1682"/>
      <c r="X30" s="1682"/>
      <c r="Y30" s="1682"/>
      <c r="Z30" s="1682"/>
      <c r="AA30" s="1726"/>
      <c r="AB30" s="1726"/>
      <c r="AC30" s="1726"/>
      <c r="AD30" s="1756"/>
      <c r="AE30" s="1756"/>
      <c r="AF30" s="1756"/>
      <c r="AG30" s="1756"/>
      <c r="AH30" s="1756"/>
      <c r="AI30" s="1756"/>
      <c r="AJ30" s="1756"/>
      <c r="AK30" s="1756"/>
      <c r="AL30" s="1756"/>
      <c r="AM30" s="1756"/>
      <c r="AN30" s="1756"/>
      <c r="AO30" s="1756"/>
      <c r="AP30" s="1756"/>
      <c r="AQ30" s="1756"/>
      <c r="AR30" s="1756"/>
      <c r="AS30" s="1756"/>
      <c r="AT30" s="1756"/>
      <c r="AU30" s="1756"/>
      <c r="AV30" s="1756"/>
      <c r="AW30" s="1756"/>
      <c r="AX30" s="1756"/>
      <c r="AY30" s="1756"/>
      <c r="AZ30" s="1756"/>
      <c r="BA30" s="1756"/>
      <c r="BB30" s="1756"/>
    </row>
    <row r="31" spans="1:54" ht="69.75" customHeight="1" thickBot="1" x14ac:dyDescent="0.3">
      <c r="A31" s="262"/>
      <c r="B31" s="1782" t="s">
        <v>1663</v>
      </c>
      <c r="C31" s="1783" t="s">
        <v>1845</v>
      </c>
      <c r="D31" s="1784" t="s">
        <v>1851</v>
      </c>
      <c r="E31" s="1785" t="s">
        <v>1852</v>
      </c>
      <c r="F31" s="1451" t="str">
        <f>IF('Звіт   4,5,6'!E39=0,"Дані не введено",IF(AND(G31&gt;0,H31&gt;0),"ПРАВДА",IF(AND(G31=0,H31=0),"ПРАВДА","Увага")))</f>
        <v>ПРАВДА</v>
      </c>
      <c r="G31" s="1786">
        <f>ROUND(('Звіт   9'!H38),1)</f>
        <v>0</v>
      </c>
      <c r="H31" s="1787">
        <f>ROUND(('Звіт 1,2,3'!Q19/1000),1)</f>
        <v>0</v>
      </c>
      <c r="I31" s="1658"/>
      <c r="J31" s="1659"/>
      <c r="K31" s="1659"/>
      <c r="L31" s="1659"/>
      <c r="M31" s="1659"/>
      <c r="N31" s="1659"/>
      <c r="O31" s="1659"/>
      <c r="P31" s="1659"/>
      <c r="Q31" s="1659"/>
      <c r="R31" s="1659"/>
      <c r="S31" s="1659"/>
      <c r="T31" s="1659"/>
      <c r="U31" s="1659"/>
      <c r="V31" s="1659"/>
      <c r="W31" s="1659"/>
      <c r="X31" s="1659"/>
      <c r="Y31" s="1659"/>
      <c r="Z31" s="1659"/>
      <c r="AA31" s="1659"/>
      <c r="AB31" s="1659"/>
      <c r="AC31" s="1659"/>
      <c r="AD31" s="1658"/>
      <c r="AE31" s="1658"/>
      <c r="AF31" s="1658"/>
      <c r="AG31" s="1658"/>
      <c r="AH31" s="1658"/>
      <c r="AI31" s="1658"/>
      <c r="AJ31" s="1658"/>
      <c r="AK31" s="1658"/>
      <c r="AL31" s="1658"/>
      <c r="AM31" s="1658"/>
      <c r="AN31" s="1658"/>
      <c r="AO31" s="1658"/>
      <c r="AP31" s="1658"/>
      <c r="AQ31" s="1658"/>
      <c r="AR31" s="1658"/>
      <c r="AS31" s="1658"/>
      <c r="AT31" s="1658"/>
      <c r="AU31" s="1658"/>
      <c r="AV31" s="1658"/>
      <c r="AW31" s="1658"/>
      <c r="AX31" s="1658"/>
      <c r="AY31" s="1658"/>
      <c r="AZ31" s="1658"/>
      <c r="BA31" s="1658"/>
      <c r="BB31" s="1658"/>
    </row>
    <row r="32" spans="1:54" s="122" customFormat="1" ht="42.75" customHeight="1" thickBot="1" x14ac:dyDescent="0.3">
      <c r="A32" s="263"/>
      <c r="B32" s="1788"/>
      <c r="C32" s="1779"/>
      <c r="D32" s="1722"/>
      <c r="E32" s="1789"/>
      <c r="F32" s="1651"/>
      <c r="G32" s="2178" t="s">
        <v>1698</v>
      </c>
      <c r="H32" s="2179"/>
      <c r="I32" s="2095"/>
      <c r="J32" s="2095"/>
      <c r="K32" s="2095"/>
      <c r="L32" s="2095"/>
      <c r="M32" s="2180"/>
      <c r="N32" s="2181" t="s">
        <v>1807</v>
      </c>
      <c r="O32" s="2182"/>
      <c r="P32" s="2182"/>
      <c r="Q32" s="2182"/>
      <c r="R32" s="2182"/>
      <c r="S32" s="2182"/>
      <c r="T32" s="2182"/>
      <c r="U32" s="1790"/>
      <c r="V32" s="1682"/>
      <c r="W32" s="1682"/>
      <c r="X32" s="1682"/>
      <c r="Y32" s="1682"/>
      <c r="Z32" s="1682"/>
      <c r="AA32" s="1682"/>
      <c r="AB32" s="1682"/>
      <c r="AC32" s="1682"/>
      <c r="AD32" s="1791"/>
      <c r="AE32" s="1791"/>
      <c r="AF32" s="1791"/>
      <c r="AG32" s="1791"/>
      <c r="AH32" s="1791"/>
      <c r="AI32" s="1791"/>
      <c r="AJ32" s="1791"/>
      <c r="AK32" s="1791"/>
      <c r="AL32" s="1791"/>
      <c r="AM32" s="1791"/>
      <c r="AN32" s="1791"/>
      <c r="AO32" s="1791"/>
      <c r="AP32" s="1791"/>
      <c r="AQ32" s="1791"/>
      <c r="AR32" s="1791"/>
      <c r="AS32" s="1791"/>
      <c r="AT32" s="1791"/>
      <c r="AU32" s="1791"/>
      <c r="AV32" s="1791"/>
      <c r="AW32" s="1791"/>
      <c r="AX32" s="1791"/>
      <c r="AY32" s="1791"/>
      <c r="AZ32" s="1791"/>
      <c r="BA32" s="1791"/>
      <c r="BB32" s="1791"/>
    </row>
    <row r="33" spans="1:54" s="1441" customFormat="1" ht="171" customHeight="1" x14ac:dyDescent="0.25">
      <c r="A33" s="262"/>
      <c r="B33" s="2050" t="s">
        <v>1664</v>
      </c>
      <c r="C33" s="2052" t="s">
        <v>1668</v>
      </c>
      <c r="D33" s="2036" t="s">
        <v>343</v>
      </c>
      <c r="E33" s="2007" t="s">
        <v>349</v>
      </c>
      <c r="F33" s="2039" t="str">
        <f>IF('Звіт   4,5,6'!E39=0,"Дані не введено",IF(AND(G34&gt;=M34/1.2-1,G34&lt;=M34+1,U34="ПРАВДА"),"ПРАВДА","ПОМИЛКА"))</f>
        <v>ПРАВДА</v>
      </c>
      <c r="G33" s="1792" t="s">
        <v>1670</v>
      </c>
      <c r="H33" s="1793" t="s">
        <v>1671</v>
      </c>
      <c r="I33" s="1793" t="s">
        <v>1751</v>
      </c>
      <c r="J33" s="1793" t="s">
        <v>1752</v>
      </c>
      <c r="K33" s="1793" t="s">
        <v>1753</v>
      </c>
      <c r="L33" s="1793" t="s">
        <v>1754</v>
      </c>
      <c r="M33" s="1794" t="s">
        <v>1713</v>
      </c>
      <c r="N33" s="1795" t="s">
        <v>1806</v>
      </c>
      <c r="O33" s="1796" t="s">
        <v>1805</v>
      </c>
      <c r="P33" s="1793" t="str">
        <f>AS91</f>
        <v xml:space="preserve">р. доходи майбутніх періодів інше Балансу, СдК
</v>
      </c>
      <c r="Q33" s="1793" t="s">
        <v>1822</v>
      </c>
      <c r="R33" s="1793" t="s">
        <v>1809</v>
      </c>
      <c r="S33" s="1793" t="s">
        <v>1823</v>
      </c>
      <c r="T33" s="1793" t="s">
        <v>1808</v>
      </c>
      <c r="U33" s="1797"/>
      <c r="V33" s="1659"/>
      <c r="W33" s="1659"/>
      <c r="X33" s="1659"/>
      <c r="Y33" s="1659"/>
      <c r="Z33" s="1659"/>
      <c r="AA33" s="1659"/>
      <c r="AB33" s="1659"/>
      <c r="AC33" s="1658"/>
      <c r="AD33" s="1658"/>
      <c r="AE33" s="1658"/>
      <c r="AF33" s="1658"/>
      <c r="AG33" s="1658"/>
      <c r="AH33" s="1658"/>
      <c r="AI33" s="1658"/>
      <c r="AJ33" s="1658"/>
      <c r="AK33" s="1658"/>
      <c r="AL33" s="1658"/>
      <c r="AM33" s="1658"/>
      <c r="AN33" s="1658"/>
      <c r="AO33" s="1658"/>
      <c r="AP33" s="1658"/>
      <c r="AQ33" s="1658"/>
      <c r="AR33" s="1658"/>
      <c r="AS33" s="1658"/>
      <c r="AT33" s="1658"/>
      <c r="AU33" s="1658"/>
      <c r="AV33" s="1658"/>
      <c r="AW33" s="1658"/>
      <c r="AX33" s="1658"/>
      <c r="AY33" s="1658"/>
      <c r="AZ33" s="1658"/>
      <c r="BA33" s="1658"/>
      <c r="BB33" s="1658"/>
    </row>
    <row r="34" spans="1:54" s="1441" customFormat="1" ht="42.75" customHeight="1" thickBot="1" x14ac:dyDescent="0.3">
      <c r="A34" s="262"/>
      <c r="B34" s="2051"/>
      <c r="C34" s="2053"/>
      <c r="D34" s="2037"/>
      <c r="E34" s="2038"/>
      <c r="F34" s="2040"/>
      <c r="G34" s="1798">
        <f>ROUND((('Звіт   4,5,6'!H11-'Звіт   4,5,6'!H12)/1000),1)</f>
        <v>0</v>
      </c>
      <c r="H34" s="1777">
        <f>ROUND((('Звіт 1,2,3'!I55+'Звіт 1,2,3'!I56)/1000),1)</f>
        <v>0</v>
      </c>
      <c r="I34" s="1777">
        <f>ROUND(('Звіт   9'!H31),1)</f>
        <v>0</v>
      </c>
      <c r="J34" s="1777">
        <f>ROUND(('Звіт   9'!K31),1)</f>
        <v>0</v>
      </c>
      <c r="K34" s="1777">
        <f>ROUND(('Звіт   9'!H84),1)</f>
        <v>0</v>
      </c>
      <c r="L34" s="1777">
        <f>ROUND(('Звіт   9'!K84),1)</f>
        <v>0</v>
      </c>
      <c r="M34" s="1799">
        <f>ROUND((H34-I34+J34+K34-L34),1)</f>
        <v>0</v>
      </c>
      <c r="N34" s="1800">
        <f>ROUND((('Звіт   4,5,6'!H18+'Звіт   4,5,6'!H19)/1000),1)</f>
        <v>0</v>
      </c>
      <c r="O34" s="1801">
        <f>ROUND((('Звіт 1,2,3'!I57+'Звіт 1,2,3'!J58)/1000),1)</f>
        <v>0</v>
      </c>
      <c r="P34" s="1777">
        <f>AS92</f>
        <v>0</v>
      </c>
      <c r="Q34" s="1646" t="str">
        <f>IF('Звіт   4,5,6'!E39=0,"Дані не введено",IF(AND(AW92&gt;=0),"ПРАВДА","ПОМИЛКА"))</f>
        <v>ПРАВДА</v>
      </c>
      <c r="R34" s="1777">
        <f>ROUND((N34*0.6),1)</f>
        <v>0</v>
      </c>
      <c r="S34" s="1801">
        <f>O34-P34</f>
        <v>0</v>
      </c>
      <c r="T34" s="1777">
        <f>ROUND((N34*1.2),1)</f>
        <v>0</v>
      </c>
      <c r="U34" s="268" t="str">
        <f>IF('Звіт   4,5,6'!E39=0,"Дані не введено",IF(AND(O34&gt;=N34*0.6,O34&lt;=N34*1.2,U35=0,Q34="ПРАВДА"),"ПРАВДА",IF(AND(O34&lt;&gt;N34,U35=1),"ПРАВДА","ПОМИЛКА")))</f>
        <v>ПРАВДА</v>
      </c>
      <c r="V34" s="1658"/>
      <c r="W34" s="1659"/>
      <c r="X34" s="1659"/>
      <c r="Y34" s="1659"/>
      <c r="Z34" s="1659"/>
      <c r="AA34" s="1659"/>
      <c r="AB34" s="1659"/>
      <c r="AC34" s="1658"/>
      <c r="AD34" s="1658"/>
      <c r="AE34" s="1658"/>
      <c r="AF34" s="1658"/>
      <c r="AG34" s="1658"/>
      <c r="AH34" s="1658"/>
      <c r="AI34" s="1658"/>
      <c r="AJ34" s="1658"/>
      <c r="AK34" s="1658"/>
      <c r="AL34" s="1658"/>
      <c r="AM34" s="1658"/>
      <c r="AN34" s="1658"/>
      <c r="AO34" s="1658"/>
      <c r="AP34" s="1658"/>
      <c r="AQ34" s="1658"/>
      <c r="AR34" s="1658"/>
      <c r="AS34" s="1658"/>
      <c r="AT34" s="1658"/>
      <c r="AU34" s="1658"/>
      <c r="AV34" s="1658"/>
      <c r="AW34" s="1658"/>
      <c r="AX34" s="1658"/>
      <c r="AY34" s="1658"/>
      <c r="AZ34" s="1658"/>
      <c r="BA34" s="1658"/>
      <c r="BB34" s="1658"/>
    </row>
    <row r="35" spans="1:54" ht="43.5" customHeight="1" thickBot="1" x14ac:dyDescent="0.4">
      <c r="A35" s="262"/>
      <c r="B35" s="1678"/>
      <c r="C35" s="1802" t="s">
        <v>355</v>
      </c>
      <c r="D35" s="1754"/>
      <c r="E35" s="1678"/>
      <c r="F35" s="1755"/>
      <c r="G35" s="1658"/>
      <c r="H35" s="1803"/>
      <c r="I35" s="1803"/>
      <c r="J35" s="1804"/>
      <c r="K35" s="1804"/>
      <c r="L35" s="1658"/>
      <c r="M35" s="1805">
        <f>M34/1.2</f>
        <v>0</v>
      </c>
      <c r="N35" s="1805"/>
      <c r="O35" s="1658"/>
      <c r="P35" s="1658"/>
      <c r="Q35" s="1658"/>
      <c r="R35" s="1658"/>
      <c r="S35" s="1658"/>
      <c r="T35" s="1806"/>
      <c r="U35" s="1807">
        <v>0</v>
      </c>
      <c r="V35" s="1806"/>
      <c r="W35" s="1659"/>
      <c r="X35" s="1659"/>
      <c r="Y35" s="1659"/>
      <c r="Z35" s="1659"/>
      <c r="AA35" s="1659"/>
      <c r="AB35" s="1659"/>
      <c r="AC35" s="1659"/>
      <c r="AD35" s="1658"/>
      <c r="AE35" s="1658"/>
      <c r="AF35" s="1658"/>
      <c r="AG35" s="1658"/>
      <c r="AH35" s="1658"/>
      <c r="AI35" s="1658"/>
      <c r="AJ35" s="1658"/>
      <c r="AK35" s="1658"/>
      <c r="AL35" s="1658"/>
      <c r="AM35" s="1658"/>
      <c r="AN35" s="1658"/>
      <c r="AO35" s="1658"/>
      <c r="AP35" s="1658"/>
      <c r="AQ35" s="1658"/>
      <c r="AR35" s="1658"/>
      <c r="AS35" s="1658"/>
      <c r="AT35" s="1658"/>
      <c r="AU35" s="1658"/>
      <c r="AV35" s="1658"/>
      <c r="AW35" s="1658"/>
      <c r="AX35" s="1658"/>
      <c r="AY35" s="1658"/>
      <c r="AZ35" s="1658"/>
      <c r="BA35" s="1658"/>
      <c r="BB35" s="1658"/>
    </row>
    <row r="36" spans="1:54" s="1441" customFormat="1" ht="60" customHeight="1" thickBot="1" x14ac:dyDescent="0.35">
      <c r="A36" s="262"/>
      <c r="B36" s="1678"/>
      <c r="C36" s="1802"/>
      <c r="D36" s="1754"/>
      <c r="E36" s="1678"/>
      <c r="F36" s="1755"/>
      <c r="G36" s="1703" t="s">
        <v>1800</v>
      </c>
      <c r="H36" s="1808" t="s">
        <v>1799</v>
      </c>
      <c r="I36" s="1809" t="s">
        <v>1802</v>
      </c>
      <c r="J36" s="2164" t="s">
        <v>1798</v>
      </c>
      <c r="K36" s="2165"/>
      <c r="L36" s="2165"/>
      <c r="M36" s="2165"/>
      <c r="N36" s="2165"/>
      <c r="O36" s="2166"/>
      <c r="P36" s="2183" t="s">
        <v>1803</v>
      </c>
      <c r="Q36" s="2184"/>
      <c r="R36" s="2184"/>
      <c r="S36" s="2184"/>
      <c r="T36" s="2184"/>
      <c r="U36" s="2184"/>
      <c r="V36" s="2185"/>
      <c r="W36" s="1810"/>
      <c r="X36" s="1659"/>
      <c r="Y36" s="1659"/>
      <c r="Z36" s="1659"/>
      <c r="AA36" s="1659"/>
      <c r="AB36" s="1659"/>
      <c r="AC36" s="1659"/>
      <c r="AD36" s="1658"/>
      <c r="AE36" s="1658"/>
      <c r="AF36" s="1658"/>
      <c r="AG36" s="1658"/>
      <c r="AH36" s="1658"/>
      <c r="AI36" s="1658"/>
      <c r="AJ36" s="1658"/>
      <c r="AK36" s="1658"/>
      <c r="AL36" s="1658"/>
      <c r="AM36" s="1658"/>
      <c r="AN36" s="1658"/>
      <c r="AO36" s="1658"/>
      <c r="AP36" s="1658"/>
      <c r="AQ36" s="1658"/>
      <c r="AR36" s="1658"/>
      <c r="AS36" s="1658"/>
      <c r="AT36" s="1658"/>
      <c r="AU36" s="1658"/>
      <c r="AV36" s="1658"/>
      <c r="AW36" s="1658"/>
      <c r="AX36" s="1658"/>
      <c r="AY36" s="1658"/>
      <c r="AZ36" s="1658"/>
      <c r="BA36" s="1658"/>
      <c r="BB36" s="1658"/>
    </row>
    <row r="37" spans="1:54" s="1441" customFormat="1" ht="135.75" customHeight="1" x14ac:dyDescent="0.25">
      <c r="A37" s="262"/>
      <c r="B37" s="2034" t="s">
        <v>396</v>
      </c>
      <c r="C37" s="2058" t="s">
        <v>1801</v>
      </c>
      <c r="D37" s="2036" t="s">
        <v>343</v>
      </c>
      <c r="E37" s="2007" t="s">
        <v>344</v>
      </c>
      <c r="F37" s="2039" t="str">
        <f>IF('Звіт   4,5,6'!E39=0,"Дані не введено",IF(AND(G38&gt;0,H38&gt;=0,I38&lt;=0,O38="ПРАВДА",V38="ПРАВДА"),"ПРАВДА","ПОМИЛКА"))</f>
        <v>ПРАВДА</v>
      </c>
      <c r="G37" s="1792" t="s">
        <v>1675</v>
      </c>
      <c r="H37" s="1793" t="s">
        <v>1674</v>
      </c>
      <c r="I37" s="1811" t="s">
        <v>1679</v>
      </c>
      <c r="J37" s="1812" t="s">
        <v>1785</v>
      </c>
      <c r="K37" s="1813" t="s">
        <v>1796</v>
      </c>
      <c r="L37" s="1814" t="s">
        <v>1797</v>
      </c>
      <c r="M37" s="1813" t="s">
        <v>1836</v>
      </c>
      <c r="N37" s="1814" t="s">
        <v>1794</v>
      </c>
      <c r="O37" s="1815" t="s">
        <v>1837</v>
      </c>
      <c r="P37" s="1795" t="s">
        <v>1854</v>
      </c>
      <c r="Q37" s="1793" t="s">
        <v>1853</v>
      </c>
      <c r="R37" s="1793" t="s">
        <v>1795</v>
      </c>
      <c r="S37" s="1796" t="s">
        <v>1838</v>
      </c>
      <c r="T37" s="1793" t="s">
        <v>1676</v>
      </c>
      <c r="U37" s="1816" t="s">
        <v>1804</v>
      </c>
      <c r="V37" s="1500" t="s">
        <v>1784</v>
      </c>
      <c r="W37" s="1658"/>
      <c r="X37" s="1659"/>
      <c r="Y37" s="1659"/>
      <c r="Z37" s="1659"/>
      <c r="AA37" s="1659"/>
      <c r="AB37" s="1659"/>
      <c r="AC37" s="1659"/>
      <c r="AD37" s="1658"/>
      <c r="AE37" s="1658"/>
      <c r="AF37" s="1658"/>
      <c r="AG37" s="1658"/>
      <c r="AH37" s="1658"/>
      <c r="AI37" s="1658"/>
      <c r="AJ37" s="1658"/>
      <c r="AK37" s="1658"/>
      <c r="AL37" s="1658"/>
      <c r="AM37" s="1658"/>
      <c r="AN37" s="1658"/>
      <c r="AO37" s="1658"/>
      <c r="AP37" s="1658"/>
      <c r="AQ37" s="1658"/>
      <c r="AR37" s="1658"/>
      <c r="AS37" s="1658"/>
      <c r="AT37" s="1658"/>
      <c r="AU37" s="1658"/>
      <c r="AV37" s="1658"/>
      <c r="AW37" s="1658"/>
      <c r="AX37" s="1658"/>
      <c r="AY37" s="1658"/>
      <c r="AZ37" s="1658"/>
      <c r="BA37" s="1658"/>
      <c r="BB37" s="1658"/>
    </row>
    <row r="38" spans="1:54" ht="37.5" customHeight="1" thickBot="1" x14ac:dyDescent="0.3">
      <c r="A38" s="262"/>
      <c r="B38" s="2035"/>
      <c r="C38" s="2059"/>
      <c r="D38" s="2037"/>
      <c r="E38" s="2038"/>
      <c r="F38" s="2040"/>
      <c r="G38" s="1817">
        <f>'Звіт   4,5,6'!H12/1000</f>
        <v>14296.308999999999</v>
      </c>
      <c r="H38" s="1777">
        <f>ROUND((('Звіт   4,5,6'!H11-'Звіт   4,5,6'!H12)/1000),1)</f>
        <v>0</v>
      </c>
      <c r="I38" s="1778">
        <f>ROUND((('Звіт   4,5,6'!H13-'Звіт   4,5,6'!H14)/1000),1)</f>
        <v>0</v>
      </c>
      <c r="J38" s="1818">
        <f>ROUND((('Звіт   4,5,6'!H25)/1000),1)</f>
        <v>0</v>
      </c>
      <c r="K38" s="1801">
        <f>ROUND((('Звіт   4,5,6'!$E$92)/1000),1)</f>
        <v>0</v>
      </c>
      <c r="L38" s="1819">
        <f>ROUND((J38-K38),1)</f>
        <v>0</v>
      </c>
      <c r="M38" s="1777">
        <f>ROUND((('Звіт 1,2,3'!K58)/1000),1)</f>
        <v>0</v>
      </c>
      <c r="N38" s="1819">
        <f>ROUND((M38-L38),1)</f>
        <v>0</v>
      </c>
      <c r="O38" s="1644" t="str">
        <f>IF('Звіт   4,5,6'!E39=0,"Дані не введено",IF(AND(N38&gt;=0,J38&gt;=K38,O39=0),"ПРАВДА",IF(AND(N38&lt;0,O39=1),"ПРАВДА","ПОМИЛКА")))</f>
        <v>ПРАВДА</v>
      </c>
      <c r="P38" s="1800">
        <f>N38</f>
        <v>0</v>
      </c>
      <c r="Q38" s="1777">
        <f>ROUND((('Звіт   4,5,6'!$H$20-'Звіт   4,5,6'!H21)/1000),1)</f>
        <v>19.2</v>
      </c>
      <c r="R38" s="1777">
        <f>ROUND((('Звіт 1,2,3'!L58+'Звіт 1,2,3'!M58)/1000),1)</f>
        <v>0</v>
      </c>
      <c r="S38" s="1801">
        <f>ROUND((Q38-N38-R38),1)</f>
        <v>19.2</v>
      </c>
      <c r="T38" s="1777">
        <f>ROUND((('Звіт   4,5,6'!H8)/1000),1)</f>
        <v>14296.3</v>
      </c>
      <c r="U38" s="1820">
        <f>S38*100/T38</f>
        <v>0.13430048334184369</v>
      </c>
      <c r="V38" s="268" t="str">
        <f>IF('Звіт   4,5,6'!E39=0,"Дані не введено",IF(AND(U38&lt;=0.4,U38&gt;=0,V39=0,S38&gt;=0,O38="ПРАВДА"),"ПРАВДА",IF(AND(V39=1),"ПРАВДА","ПОМИЛКА")))</f>
        <v>ПРАВДА</v>
      </c>
      <c r="W38" s="1658"/>
      <c r="X38" s="1659"/>
      <c r="Y38" s="1659"/>
      <c r="Z38" s="1659"/>
      <c r="AA38" s="1659"/>
      <c r="AB38" s="1659"/>
      <c r="AC38" s="1659"/>
      <c r="AD38" s="1658"/>
      <c r="AE38" s="1658"/>
      <c r="AF38" s="1658"/>
      <c r="AG38" s="1658"/>
      <c r="AH38" s="1658"/>
      <c r="AI38" s="1658"/>
      <c r="AJ38" s="1658"/>
      <c r="AK38" s="1658"/>
      <c r="AL38" s="1658"/>
      <c r="AM38" s="1658"/>
      <c r="AN38" s="1658"/>
      <c r="AO38" s="1658"/>
      <c r="AP38" s="1658"/>
      <c r="AQ38" s="1658"/>
      <c r="AR38" s="1658"/>
      <c r="AS38" s="1658"/>
      <c r="AT38" s="1658"/>
      <c r="AU38" s="1658"/>
      <c r="AV38" s="1658"/>
      <c r="AW38" s="1658"/>
      <c r="AX38" s="1658"/>
      <c r="AY38" s="1658"/>
      <c r="AZ38" s="1658"/>
      <c r="BA38" s="1658"/>
      <c r="BB38" s="1658"/>
    </row>
    <row r="39" spans="1:54" s="745" customFormat="1" ht="39" customHeight="1" thickBot="1" x14ac:dyDescent="0.3">
      <c r="A39" s="264"/>
      <c r="B39" s="1722"/>
      <c r="C39" s="1821"/>
      <c r="D39" s="1722"/>
      <c r="E39" s="1722"/>
      <c r="F39" s="1651"/>
      <c r="G39" s="1724"/>
      <c r="H39" s="1822"/>
      <c r="I39" s="1822"/>
      <c r="J39" s="1822"/>
      <c r="K39" s="1658"/>
      <c r="L39" s="1659"/>
      <c r="M39" s="1659"/>
      <c r="N39" s="1756"/>
      <c r="O39" s="1823"/>
      <c r="P39" s="1756"/>
      <c r="Q39" s="1659"/>
      <c r="R39" s="1659"/>
      <c r="S39" s="1659"/>
      <c r="T39" s="1659"/>
      <c r="U39" s="1659"/>
      <c r="V39" s="1824"/>
      <c r="W39" s="1659"/>
      <c r="X39" s="1659"/>
      <c r="Y39" s="1726"/>
      <c r="Z39" s="1726"/>
      <c r="AA39" s="1726"/>
      <c r="AB39" s="1726"/>
      <c r="AC39" s="1726"/>
      <c r="AD39" s="1756"/>
      <c r="AE39" s="1756"/>
      <c r="AF39" s="1756"/>
      <c r="AG39" s="1756"/>
      <c r="AH39" s="1756"/>
      <c r="AI39" s="1756"/>
      <c r="AJ39" s="1756"/>
      <c r="AK39" s="1756"/>
      <c r="AL39" s="1756"/>
      <c r="AM39" s="1756"/>
      <c r="AN39" s="1756"/>
      <c r="AO39" s="1756"/>
      <c r="AP39" s="1756"/>
      <c r="AQ39" s="1756"/>
      <c r="AR39" s="1756"/>
      <c r="AS39" s="1756"/>
      <c r="AT39" s="1756"/>
      <c r="AU39" s="1756"/>
      <c r="AV39" s="1756"/>
      <c r="AW39" s="1756"/>
      <c r="AX39" s="1756"/>
      <c r="AY39" s="1756"/>
      <c r="AZ39" s="1756"/>
      <c r="BA39" s="1756"/>
      <c r="BB39" s="1756"/>
    </row>
    <row r="40" spans="1:54" ht="99" customHeight="1" x14ac:dyDescent="0.25">
      <c r="A40" s="262"/>
      <c r="B40" s="2054" t="s">
        <v>397</v>
      </c>
      <c r="C40" s="2056" t="s">
        <v>1783</v>
      </c>
      <c r="D40" s="2036" t="s">
        <v>343</v>
      </c>
      <c r="E40" s="2007" t="s">
        <v>344</v>
      </c>
      <c r="F40" s="2072" t="str">
        <f>IF('Звіт   4,5,6'!E39=0,"Дані не введено",IF(AND(G41&gt;=H41,I41="ПРАВДА",J41="ПРАВДА"),"ПРАВДА","ПОМИЛКА"))</f>
        <v>ПРАВДА</v>
      </c>
      <c r="G40" s="1704" t="s">
        <v>567</v>
      </c>
      <c r="H40" s="1704" t="s">
        <v>568</v>
      </c>
      <c r="I40" s="1728" t="s">
        <v>1243</v>
      </c>
      <c r="J40" s="1652" t="s">
        <v>1244</v>
      </c>
      <c r="K40" s="1658"/>
      <c r="L40" s="1658"/>
      <c r="M40" s="1658"/>
      <c r="N40" s="1658"/>
      <c r="O40" s="1658"/>
      <c r="P40" s="1658"/>
      <c r="Q40" s="1658"/>
      <c r="R40" s="1658"/>
      <c r="S40" s="1658"/>
      <c r="T40" s="1658"/>
      <c r="U40" s="1658"/>
      <c r="V40" s="1682"/>
      <c r="W40" s="1659"/>
      <c r="X40" s="1659"/>
      <c r="Y40" s="1659"/>
      <c r="Z40" s="1659"/>
      <c r="AA40" s="1659"/>
      <c r="AB40" s="1659"/>
      <c r="AC40" s="1659"/>
      <c r="AD40" s="1658"/>
      <c r="AE40" s="1658"/>
      <c r="AF40" s="1658"/>
      <c r="AG40" s="1658"/>
      <c r="AH40" s="1658"/>
      <c r="AI40" s="1658"/>
      <c r="AJ40" s="1658"/>
      <c r="AK40" s="1658"/>
      <c r="AL40" s="1658"/>
      <c r="AM40" s="1658"/>
      <c r="AN40" s="1658"/>
      <c r="AO40" s="1658"/>
      <c r="AP40" s="1658"/>
      <c r="AQ40" s="1658"/>
      <c r="AR40" s="1658"/>
      <c r="AS40" s="1658"/>
      <c r="AT40" s="1658"/>
      <c r="AU40" s="1658"/>
      <c r="AV40" s="1658"/>
      <c r="AW40" s="1658"/>
      <c r="AX40" s="1658"/>
      <c r="AY40" s="1658"/>
      <c r="AZ40" s="1658"/>
      <c r="BA40" s="1658"/>
      <c r="BB40" s="1658"/>
    </row>
    <row r="41" spans="1:54" ht="34.5" customHeight="1" thickBot="1" x14ac:dyDescent="0.3">
      <c r="A41" s="262"/>
      <c r="B41" s="2055"/>
      <c r="C41" s="2057"/>
      <c r="D41" s="2037"/>
      <c r="E41" s="2038"/>
      <c r="F41" s="2065"/>
      <c r="G41" s="1713">
        <f>ROUND(('Звіт   4,5,6'!H11/1000),1)</f>
        <v>14296.3</v>
      </c>
      <c r="H41" s="1713">
        <f>ROUND(('Звіт   4,5,6'!H12/1000),1)</f>
        <v>14296.3</v>
      </c>
      <c r="I41" s="1646" t="str">
        <f>'Звіт   4,5,6'!K8</f>
        <v>ПРАВДА</v>
      </c>
      <c r="J41" s="1483" t="str">
        <f>'Звіт   4,5,6'!M8</f>
        <v>ПРАВДА</v>
      </c>
      <c r="K41" s="1658"/>
      <c r="L41" s="1658"/>
      <c r="M41" s="1658"/>
      <c r="N41" s="1658"/>
      <c r="O41" s="1658"/>
      <c r="P41" s="1658"/>
      <c r="Q41" s="1658"/>
      <c r="R41" s="1658"/>
      <c r="S41" s="1658"/>
      <c r="T41" s="1658"/>
      <c r="U41" s="1658"/>
      <c r="V41" s="1682"/>
      <c r="W41" s="1659"/>
      <c r="X41" s="1659"/>
      <c r="Y41" s="1659"/>
      <c r="Z41" s="1659"/>
      <c r="AA41" s="1659"/>
      <c r="AB41" s="1659"/>
      <c r="AC41" s="1659"/>
      <c r="AD41" s="1658"/>
      <c r="AE41" s="1658"/>
      <c r="AF41" s="1658"/>
      <c r="AG41" s="1658"/>
      <c r="AH41" s="1658"/>
      <c r="AI41" s="1658"/>
      <c r="AJ41" s="1658"/>
      <c r="AK41" s="1658"/>
      <c r="AL41" s="1658"/>
      <c r="AM41" s="1658"/>
      <c r="AN41" s="1658"/>
      <c r="AO41" s="1658"/>
      <c r="AP41" s="1658"/>
      <c r="AQ41" s="1658"/>
      <c r="AR41" s="1658"/>
      <c r="AS41" s="1658"/>
      <c r="AT41" s="1658"/>
      <c r="AU41" s="1658"/>
      <c r="AV41" s="1658"/>
      <c r="AW41" s="1658"/>
      <c r="AX41" s="1658"/>
      <c r="AY41" s="1658"/>
      <c r="AZ41" s="1658"/>
      <c r="BA41" s="1658"/>
      <c r="BB41" s="1658"/>
    </row>
    <row r="42" spans="1:54" ht="56.25" x14ac:dyDescent="0.25">
      <c r="A42" s="262"/>
      <c r="B42" s="2015" t="s">
        <v>398</v>
      </c>
      <c r="C42" s="2093" t="s">
        <v>1531</v>
      </c>
      <c r="D42" s="2036" t="s">
        <v>361</v>
      </c>
      <c r="E42" s="2036" t="s">
        <v>351</v>
      </c>
      <c r="F42" s="2072" t="str">
        <f>IF('Звіт   4,5,6'!E39=0,"Дані не введено",IF(K43&gt;=-1,"ПРАВДА", "Увага"))</f>
        <v>Увага</v>
      </c>
      <c r="G42" s="1704" t="s">
        <v>1505</v>
      </c>
      <c r="H42" s="1704" t="s">
        <v>1503</v>
      </c>
      <c r="I42" s="1825" t="s">
        <v>1409</v>
      </c>
      <c r="J42" s="1826" t="s">
        <v>1508</v>
      </c>
      <c r="K42" s="1708" t="s">
        <v>1547</v>
      </c>
      <c r="L42" s="1827" t="s">
        <v>1548</v>
      </c>
      <c r="M42" s="673"/>
      <c r="N42" s="673"/>
      <c r="O42" s="1681"/>
      <c r="P42" s="1659"/>
      <c r="Q42" s="1659"/>
      <c r="R42" s="1659"/>
      <c r="S42" s="1659"/>
      <c r="T42" s="1659"/>
      <c r="U42" s="1659"/>
      <c r="V42" s="1659"/>
      <c r="W42" s="1659"/>
      <c r="X42" s="1659"/>
      <c r="Y42" s="1659"/>
      <c r="Z42" s="1659"/>
      <c r="AA42" s="1659"/>
      <c r="AB42" s="1659"/>
      <c r="AC42" s="1659"/>
      <c r="AD42" s="1658"/>
      <c r="AE42" s="1658"/>
      <c r="AF42" s="1658"/>
      <c r="AG42" s="1658"/>
      <c r="AH42" s="1658"/>
      <c r="AI42" s="1658"/>
      <c r="AJ42" s="1658"/>
      <c r="AK42" s="1658"/>
      <c r="AL42" s="1658"/>
      <c r="AM42" s="1658"/>
      <c r="AN42" s="1658"/>
      <c r="AO42" s="1658"/>
      <c r="AP42" s="1658"/>
      <c r="AQ42" s="1658"/>
      <c r="AR42" s="1658"/>
      <c r="AS42" s="1658"/>
      <c r="AT42" s="1658"/>
      <c r="AU42" s="1658"/>
      <c r="AV42" s="1658"/>
      <c r="AW42" s="1658"/>
      <c r="AX42" s="1658"/>
      <c r="AY42" s="1658"/>
      <c r="AZ42" s="1658"/>
      <c r="BA42" s="1658"/>
      <c r="BB42" s="1658"/>
    </row>
    <row r="43" spans="1:54" ht="25.5" customHeight="1" thickBot="1" x14ac:dyDescent="0.3">
      <c r="A43" s="262"/>
      <c r="B43" s="2061"/>
      <c r="C43" s="2094"/>
      <c r="D43" s="2037"/>
      <c r="E43" s="2037"/>
      <c r="F43" s="2065"/>
      <c r="G43" s="1713">
        <f>ROUND((('Звіт   4,5,6'!H7-'Звіт   4,5,6'!H23-'Звіт   4,5,6'!H24)/1000),1)</f>
        <v>22964.5</v>
      </c>
      <c r="H43" s="1713">
        <f>ROUND(('Звіт   4,5,6'!E37/1000),1)</f>
        <v>32998.6</v>
      </c>
      <c r="I43" s="1828">
        <f>ROUND((('Звіт   4,5,6'!H30+'Звіт   4,5,6'!H31)/1000),1)</f>
        <v>0</v>
      </c>
      <c r="J43" s="1829">
        <f>ROUND((H43+I43),1)</f>
        <v>32998.6</v>
      </c>
      <c r="K43" s="1772">
        <f>G43-J43</f>
        <v>-10034.099999999999</v>
      </c>
      <c r="L43" s="1830">
        <f>K43*100/G43</f>
        <v>-43.69396242025735</v>
      </c>
      <c r="M43" s="673"/>
      <c r="N43" s="673"/>
      <c r="O43" s="1681"/>
      <c r="P43" s="1659"/>
      <c r="Q43" s="1659"/>
      <c r="R43" s="1659"/>
      <c r="S43" s="1659"/>
      <c r="T43" s="1659"/>
      <c r="U43" s="1659"/>
      <c r="V43" s="1659"/>
      <c r="W43" s="1659"/>
      <c r="X43" s="1659"/>
      <c r="Y43" s="1659"/>
      <c r="Z43" s="1659"/>
      <c r="AA43" s="1659"/>
      <c r="AB43" s="1659"/>
      <c r="AC43" s="1659"/>
      <c r="AD43" s="1658"/>
      <c r="AE43" s="1658"/>
      <c r="AF43" s="1658"/>
      <c r="AG43" s="1658"/>
      <c r="AH43" s="1658"/>
      <c r="AI43" s="1658"/>
      <c r="AJ43" s="1658"/>
      <c r="AK43" s="1658"/>
      <c r="AL43" s="1658"/>
      <c r="AM43" s="1658"/>
      <c r="AN43" s="1658"/>
      <c r="AO43" s="1658"/>
      <c r="AP43" s="1658"/>
      <c r="AQ43" s="1658"/>
      <c r="AR43" s="1658"/>
      <c r="AS43" s="1658"/>
      <c r="AT43" s="1658"/>
      <c r="AU43" s="1658"/>
      <c r="AV43" s="1658"/>
      <c r="AW43" s="1658"/>
      <c r="AX43" s="1658"/>
      <c r="AY43" s="1658"/>
      <c r="AZ43" s="1658"/>
      <c r="BA43" s="1658"/>
      <c r="BB43" s="1658"/>
    </row>
    <row r="44" spans="1:54" ht="56.25" x14ac:dyDescent="0.25">
      <c r="A44" s="262"/>
      <c r="B44" s="2136" t="s">
        <v>1385</v>
      </c>
      <c r="C44" s="2129" t="s">
        <v>1681</v>
      </c>
      <c r="D44" s="2081" t="s">
        <v>361</v>
      </c>
      <c r="E44" s="2081" t="s">
        <v>351</v>
      </c>
      <c r="F44" s="2130" t="str">
        <f>IF('Звіт   4,5,6'!E39=0,"Дані не введено",IF(M45&gt;=-1,"ПРАВДА", "Увага"))</f>
        <v>Увага</v>
      </c>
      <c r="G44" s="1831" t="str">
        <f>G42</f>
        <v>Таблиця 4, р.4 гр.5
Дохід без доходу від амортизації, всього</v>
      </c>
      <c r="H44" s="1831" t="s">
        <v>1261</v>
      </c>
      <c r="I44" s="1832" t="s">
        <v>1502</v>
      </c>
      <c r="J44" s="1831" t="s">
        <v>1503</v>
      </c>
      <c r="K44" s="1831" t="str">
        <f>I42</f>
        <v>Таблиця 5
Виробнича собівартість готової продукції та товарів</v>
      </c>
      <c r="L44" s="1832" t="str">
        <f>J42</f>
        <v>Всього витрати без амортизації</v>
      </c>
      <c r="M44" s="1833" t="s">
        <v>1549</v>
      </c>
      <c r="N44" s="1827" t="s">
        <v>1550</v>
      </c>
      <c r="O44" s="1658"/>
      <c r="P44" s="1659"/>
      <c r="Q44" s="1659"/>
      <c r="R44" s="1659"/>
      <c r="S44" s="1659"/>
      <c r="T44" s="1659"/>
      <c r="U44" s="1659"/>
      <c r="V44" s="1659"/>
      <c r="W44" s="1659"/>
      <c r="X44" s="1659"/>
      <c r="Y44" s="1659"/>
      <c r="Z44" s="1659"/>
      <c r="AA44" s="1659"/>
      <c r="AB44" s="1659"/>
      <c r="AC44" s="1659"/>
      <c r="AD44" s="1658"/>
      <c r="AE44" s="1658"/>
      <c r="AF44" s="1658"/>
      <c r="AG44" s="1658"/>
      <c r="AH44" s="1658"/>
      <c r="AI44" s="1658"/>
      <c r="AJ44" s="1658"/>
      <c r="AK44" s="1658"/>
      <c r="AL44" s="1658"/>
      <c r="AM44" s="1658"/>
      <c r="AN44" s="1658"/>
      <c r="AO44" s="1658"/>
      <c r="AP44" s="1658"/>
      <c r="AQ44" s="1658"/>
      <c r="AR44" s="1658"/>
      <c r="AS44" s="1658"/>
      <c r="AT44" s="1658"/>
      <c r="AU44" s="1658"/>
      <c r="AV44" s="1658"/>
      <c r="AW44" s="1658"/>
      <c r="AX44" s="1658"/>
      <c r="AY44" s="1658"/>
      <c r="AZ44" s="1658"/>
      <c r="BA44" s="1658"/>
      <c r="BB44" s="1658"/>
    </row>
    <row r="45" spans="1:54" ht="28.5" customHeight="1" thickBot="1" x14ac:dyDescent="0.3">
      <c r="A45" s="262"/>
      <c r="B45" s="2137"/>
      <c r="C45" s="2119"/>
      <c r="D45" s="2037"/>
      <c r="E45" s="2037"/>
      <c r="F45" s="2089"/>
      <c r="G45" s="1733">
        <f>G43</f>
        <v>22964.5</v>
      </c>
      <c r="H45" s="1733">
        <f>ROUND(('Звіт   9'!K83),1)</f>
        <v>0</v>
      </c>
      <c r="I45" s="1834">
        <f>ROUND((G45+H45),1)</f>
        <v>22964.5</v>
      </c>
      <c r="J45" s="1733">
        <f>ROUND(('Звіт   4,5,6'!E37/1000),1)</f>
        <v>32998.6</v>
      </c>
      <c r="K45" s="1733">
        <f>I43</f>
        <v>0</v>
      </c>
      <c r="L45" s="1834">
        <f>ROUND((J45+K45),1)</f>
        <v>32998.6</v>
      </c>
      <c r="M45" s="1835">
        <f>I45-L45</f>
        <v>-10034.099999999999</v>
      </c>
      <c r="N45" s="1830">
        <f>M45*100/I45</f>
        <v>-43.69396242025735</v>
      </c>
      <c r="O45" s="1658"/>
      <c r="P45" s="1659"/>
      <c r="Q45" s="1659"/>
      <c r="R45" s="1659"/>
      <c r="S45" s="1659"/>
      <c r="T45" s="1659"/>
      <c r="U45" s="1659"/>
      <c r="V45" s="1659"/>
      <c r="W45" s="1659"/>
      <c r="X45" s="1659"/>
      <c r="Y45" s="1659"/>
      <c r="Z45" s="1659"/>
      <c r="AA45" s="1659"/>
      <c r="AB45" s="1659"/>
      <c r="AC45" s="1659"/>
      <c r="AD45" s="1658"/>
      <c r="AE45" s="1658"/>
      <c r="AF45" s="1658"/>
      <c r="AG45" s="1658"/>
      <c r="AH45" s="1658"/>
      <c r="AI45" s="1658"/>
      <c r="AJ45" s="1658"/>
      <c r="AK45" s="1658"/>
      <c r="AL45" s="1658"/>
      <c r="AM45" s="1658"/>
      <c r="AN45" s="1658"/>
      <c r="AO45" s="1658"/>
      <c r="AP45" s="1658"/>
      <c r="AQ45" s="1658"/>
      <c r="AR45" s="1658"/>
      <c r="AS45" s="1658"/>
      <c r="AT45" s="1658"/>
      <c r="AU45" s="1658"/>
      <c r="AV45" s="1658"/>
      <c r="AW45" s="1658"/>
      <c r="AX45" s="1658"/>
      <c r="AY45" s="1658"/>
      <c r="AZ45" s="1658"/>
      <c r="BA45" s="1658"/>
      <c r="BB45" s="1658"/>
    </row>
    <row r="46" spans="1:54" ht="84" customHeight="1" x14ac:dyDescent="0.25">
      <c r="A46" s="262"/>
      <c r="B46" s="2138" t="s">
        <v>399</v>
      </c>
      <c r="C46" s="2079" t="s">
        <v>1532</v>
      </c>
      <c r="D46" s="2081" t="s">
        <v>361</v>
      </c>
      <c r="E46" s="2081" t="s">
        <v>351</v>
      </c>
      <c r="F46" s="2083" t="str">
        <f>IF('Звіт   4,5,6'!E39=0,"Дані не введено",IF(K47&gt;=-1,"ПРАВДА", "Увага"))</f>
        <v>Увага</v>
      </c>
      <c r="G46" s="1836" t="s">
        <v>1506</v>
      </c>
      <c r="H46" s="1718" t="s">
        <v>1504</v>
      </c>
      <c r="I46" s="1718" t="str">
        <f>K44</f>
        <v>Таблиця 5
Виробнича собівартість готової продукції та товарів</v>
      </c>
      <c r="J46" s="1719" t="s">
        <v>1507</v>
      </c>
      <c r="K46" s="1814" t="s">
        <v>1551</v>
      </c>
      <c r="L46" s="1827" t="s">
        <v>1552</v>
      </c>
      <c r="M46" s="1724"/>
      <c r="N46" s="1837"/>
      <c r="O46" s="1838"/>
      <c r="P46" s="1659"/>
      <c r="Q46" s="1659"/>
      <c r="R46" s="1659"/>
      <c r="S46" s="1659"/>
      <c r="T46" s="1659"/>
      <c r="U46" s="1659"/>
      <c r="V46" s="1659"/>
      <c r="W46" s="1659"/>
      <c r="X46" s="1659"/>
      <c r="Y46" s="1659"/>
      <c r="Z46" s="1659"/>
      <c r="AA46" s="1659"/>
      <c r="AB46" s="1659"/>
      <c r="AC46" s="1659"/>
      <c r="AD46" s="1658"/>
      <c r="AE46" s="1658"/>
      <c r="AF46" s="1658"/>
      <c r="AG46" s="1658"/>
      <c r="AH46" s="1658"/>
      <c r="AI46" s="1658"/>
      <c r="AJ46" s="1658"/>
      <c r="AK46" s="1658"/>
      <c r="AL46" s="1658"/>
      <c r="AM46" s="1658"/>
      <c r="AN46" s="1658"/>
      <c r="AO46" s="1658"/>
      <c r="AP46" s="1658"/>
      <c r="AQ46" s="1658"/>
      <c r="AR46" s="1658"/>
      <c r="AS46" s="1658"/>
      <c r="AT46" s="1658"/>
      <c r="AU46" s="1658"/>
      <c r="AV46" s="1658"/>
      <c r="AW46" s="1658"/>
      <c r="AX46" s="1658"/>
      <c r="AY46" s="1658"/>
      <c r="AZ46" s="1658"/>
      <c r="BA46" s="1658"/>
      <c r="BB46" s="1658"/>
    </row>
    <row r="47" spans="1:54" ht="28.5" customHeight="1" thickBot="1" x14ac:dyDescent="0.3">
      <c r="A47" s="262"/>
      <c r="B47" s="2061"/>
      <c r="C47" s="2078"/>
      <c r="D47" s="2037"/>
      <c r="E47" s="2037"/>
      <c r="F47" s="2065"/>
      <c r="G47" s="1712">
        <f>ROUND((('Звіт   4,5,6'!H7)/1000),1)</f>
        <v>23081.8</v>
      </c>
      <c r="H47" s="1712">
        <f>ROUND((('Звіт   4,5,6'!E37+'Звіт   4,5,6'!E88)/1000),1)</f>
        <v>33116.6</v>
      </c>
      <c r="I47" s="1712">
        <f>K45</f>
        <v>0</v>
      </c>
      <c r="J47" s="1720">
        <f>ROUND((H47+I47),1)</f>
        <v>33116.6</v>
      </c>
      <c r="K47" s="1772">
        <f>G47-J47</f>
        <v>-10034.799999999999</v>
      </c>
      <c r="L47" s="1830">
        <f>K47*100/G47</f>
        <v>-43.474945628157244</v>
      </c>
      <c r="M47" s="1724"/>
      <c r="N47" s="1837"/>
      <c r="O47" s="1838"/>
      <c r="P47" s="1659"/>
      <c r="Q47" s="1659"/>
      <c r="R47" s="1659"/>
      <c r="S47" s="1659"/>
      <c r="T47" s="1659"/>
      <c r="U47" s="1659"/>
      <c r="V47" s="1659"/>
      <c r="W47" s="1659"/>
      <c r="X47" s="1659"/>
      <c r="Y47" s="1659"/>
      <c r="Z47" s="1659"/>
      <c r="AA47" s="1659"/>
      <c r="AB47" s="1659"/>
      <c r="AC47" s="1659"/>
      <c r="AD47" s="1658"/>
      <c r="AE47" s="1658"/>
      <c r="AF47" s="1658"/>
      <c r="AG47" s="1658"/>
      <c r="AH47" s="1658"/>
      <c r="AI47" s="1658"/>
      <c r="AJ47" s="1658"/>
      <c r="AK47" s="1658"/>
      <c r="AL47" s="1658"/>
      <c r="AM47" s="1658"/>
      <c r="AN47" s="1658"/>
      <c r="AO47" s="1658"/>
      <c r="AP47" s="1658"/>
      <c r="AQ47" s="1658"/>
      <c r="AR47" s="1658"/>
      <c r="AS47" s="1658"/>
      <c r="AT47" s="1658"/>
      <c r="AU47" s="1658"/>
      <c r="AV47" s="1658"/>
      <c r="AW47" s="1658"/>
      <c r="AX47" s="1658"/>
      <c r="AY47" s="1658"/>
      <c r="AZ47" s="1658"/>
      <c r="BA47" s="1658"/>
      <c r="BB47" s="1658"/>
    </row>
    <row r="48" spans="1:54" ht="95.25" customHeight="1" x14ac:dyDescent="0.25">
      <c r="A48" s="262"/>
      <c r="B48" s="2127" t="s">
        <v>1386</v>
      </c>
      <c r="C48" s="2129" t="s">
        <v>1682</v>
      </c>
      <c r="D48" s="2081" t="s">
        <v>361</v>
      </c>
      <c r="E48" s="2081" t="s">
        <v>351</v>
      </c>
      <c r="F48" s="2130" t="str">
        <f>IF('Звіт   4,5,6'!E39=0,"Дані не введено",IF(N49&gt;=-1,"ПРАВДА", "Увага"))</f>
        <v>Увага</v>
      </c>
      <c r="G48" s="1832" t="str">
        <f>G46</f>
        <v>Таблиця 4, р.4 гр.5
Всього дохід</v>
      </c>
      <c r="H48" s="1831" t="str">
        <f>H44</f>
        <v>Баланс
Аванси ПМГ станом на кінець звітного періоду</v>
      </c>
      <c r="I48" s="1831" t="s">
        <v>1680</v>
      </c>
      <c r="J48" s="1832" t="s">
        <v>1296</v>
      </c>
      <c r="K48" s="1831" t="str">
        <f t="shared" ref="K48:M49" si="0">H46</f>
        <v xml:space="preserve">Таблиця 5.1
Операційні та неопераційні витрати з амортизацією, всього </v>
      </c>
      <c r="L48" s="1831" t="str">
        <f t="shared" si="0"/>
        <v>Таблиця 5
Виробнича собівартість готової продукції та товарів</v>
      </c>
      <c r="M48" s="1839" t="str">
        <f t="shared" si="0"/>
        <v>Всього витрати з амортизацією</v>
      </c>
      <c r="N48" s="1827" t="s">
        <v>1553</v>
      </c>
      <c r="O48" s="1827" t="s">
        <v>1554</v>
      </c>
      <c r="P48" s="1659"/>
      <c r="Q48" s="1659"/>
      <c r="R48" s="1659"/>
      <c r="S48" s="1659"/>
      <c r="T48" s="1659"/>
      <c r="U48" s="1659"/>
      <c r="V48" s="1659"/>
      <c r="W48" s="1659"/>
      <c r="X48" s="1659"/>
      <c r="Y48" s="1659"/>
      <c r="Z48" s="1659"/>
      <c r="AA48" s="1659"/>
      <c r="AB48" s="1659"/>
      <c r="AC48" s="1659"/>
      <c r="AD48" s="1658"/>
      <c r="AE48" s="1658"/>
      <c r="AF48" s="1658"/>
      <c r="AG48" s="1658"/>
      <c r="AH48" s="1658"/>
      <c r="AI48" s="1658"/>
      <c r="AJ48" s="1658"/>
      <c r="AK48" s="1658"/>
      <c r="AL48" s="1658"/>
      <c r="AM48" s="1658"/>
      <c r="AN48" s="1658"/>
      <c r="AO48" s="1658"/>
      <c r="AP48" s="1658"/>
      <c r="AQ48" s="1658"/>
      <c r="AR48" s="1658"/>
      <c r="AS48" s="1658"/>
      <c r="AT48" s="1658"/>
      <c r="AU48" s="1658"/>
      <c r="AV48" s="1658"/>
      <c r="AW48" s="1658"/>
      <c r="AX48" s="1658"/>
      <c r="AY48" s="1658"/>
      <c r="AZ48" s="1658"/>
      <c r="BA48" s="1658"/>
      <c r="BB48" s="1658"/>
    </row>
    <row r="49" spans="1:54" ht="30.75" customHeight="1" thickBot="1" x14ac:dyDescent="0.35">
      <c r="A49" s="262"/>
      <c r="B49" s="2128"/>
      <c r="C49" s="2119"/>
      <c r="D49" s="2037"/>
      <c r="E49" s="2037"/>
      <c r="F49" s="2089"/>
      <c r="G49" s="1733">
        <f>G47</f>
        <v>23081.8</v>
      </c>
      <c r="H49" s="1733">
        <f>H45</f>
        <v>0</v>
      </c>
      <c r="I49" s="1733">
        <f>ROUND((('Звіт 10, 11,12,13,14'!G87+'Звіт 10, 11,12,13,14'!G88)/1000),1)</f>
        <v>0</v>
      </c>
      <c r="J49" s="1733">
        <f>ROUND((G49+H49+I49),1)</f>
        <v>23081.8</v>
      </c>
      <c r="K49" s="1715">
        <f t="shared" si="0"/>
        <v>33116.6</v>
      </c>
      <c r="L49" s="1715">
        <f t="shared" si="0"/>
        <v>0</v>
      </c>
      <c r="M49" s="1834">
        <f t="shared" si="0"/>
        <v>33116.6</v>
      </c>
      <c r="N49" s="1840">
        <f>J49-M49</f>
        <v>-10034.799999999999</v>
      </c>
      <c r="O49" s="1830">
        <f>N49*100/J49</f>
        <v>-43.474945628157244</v>
      </c>
      <c r="P49" s="1841"/>
      <c r="Q49" s="1659"/>
      <c r="R49" s="1659"/>
      <c r="S49" s="1659"/>
      <c r="T49" s="1659"/>
      <c r="U49" s="1659"/>
      <c r="V49" s="1659"/>
      <c r="W49" s="1659"/>
      <c r="X49" s="1659"/>
      <c r="Y49" s="1659"/>
      <c r="Z49" s="1659"/>
      <c r="AA49" s="1659"/>
      <c r="AB49" s="1659"/>
      <c r="AC49" s="1659"/>
      <c r="AD49" s="1658"/>
      <c r="AE49" s="1658"/>
      <c r="AF49" s="1658"/>
      <c r="AG49" s="1658"/>
      <c r="AH49" s="1658"/>
      <c r="AI49" s="1658"/>
      <c r="AJ49" s="1658"/>
      <c r="AK49" s="1658"/>
      <c r="AL49" s="1658"/>
      <c r="AM49" s="1658"/>
      <c r="AN49" s="1658"/>
      <c r="AO49" s="1658"/>
      <c r="AP49" s="1658"/>
      <c r="AQ49" s="1658"/>
      <c r="AR49" s="1658"/>
      <c r="AS49" s="1658"/>
      <c r="AT49" s="1658"/>
      <c r="AU49" s="1658"/>
      <c r="AV49" s="1658"/>
      <c r="AW49" s="1658"/>
      <c r="AX49" s="1658"/>
      <c r="AY49" s="1658"/>
      <c r="AZ49" s="1658"/>
      <c r="BA49" s="1658"/>
      <c r="BB49" s="1658"/>
    </row>
    <row r="50" spans="1:54" ht="99.75" customHeight="1" x14ac:dyDescent="0.25">
      <c r="A50" s="262"/>
      <c r="B50" s="2066" t="s">
        <v>400</v>
      </c>
      <c r="C50" s="2123" t="s">
        <v>767</v>
      </c>
      <c r="D50" s="2036" t="s">
        <v>343</v>
      </c>
      <c r="E50" s="2036" t="s">
        <v>344</v>
      </c>
      <c r="F50" s="2072" t="str">
        <f>IF('Звіт   4,5,6'!E39=0,"Дані не введено",IF(OR(AND((K51-N51)&gt;=-1,(K51-N51)&lt;=1,M51&gt;0,L51=0)),"ПРАВДА",IF(OR(AND((L51-O51)&gt;=-1,(L51-O51)&lt;=1,M51&lt;0,K51=0)),"ПРАВДА",IF(OR(AND(M51=0,K51=0,L51=0)),"ПРАВДА","ПОМИЛКА"))))</f>
        <v>ПРАВДА</v>
      </c>
      <c r="G50" s="1704" t="s">
        <v>763</v>
      </c>
      <c r="H50" s="1704" t="s">
        <v>766</v>
      </c>
      <c r="I50" s="1728" t="s">
        <v>1678</v>
      </c>
      <c r="J50" s="1728" t="s">
        <v>1677</v>
      </c>
      <c r="K50" s="1704" t="s">
        <v>764</v>
      </c>
      <c r="L50" s="1728" t="s">
        <v>765</v>
      </c>
      <c r="M50" s="1842" t="s">
        <v>824</v>
      </c>
      <c r="N50" s="1843" t="s">
        <v>362</v>
      </c>
      <c r="O50" s="1844" t="s">
        <v>363</v>
      </c>
      <c r="P50" s="2177" t="s">
        <v>1295</v>
      </c>
      <c r="Q50" s="1659"/>
      <c r="R50" s="1659"/>
      <c r="S50" s="1659"/>
      <c r="T50" s="1659"/>
      <c r="U50" s="1659"/>
      <c r="V50" s="1659"/>
      <c r="W50" s="1659"/>
      <c r="X50" s="1659"/>
      <c r="Y50" s="1659"/>
      <c r="Z50" s="1659"/>
      <c r="AA50" s="1659"/>
      <c r="AB50" s="1659"/>
      <c r="AC50" s="1659"/>
      <c r="AD50" s="1658"/>
      <c r="AE50" s="1658"/>
      <c r="AF50" s="1658"/>
      <c r="AG50" s="1658"/>
      <c r="AH50" s="1658"/>
      <c r="AI50" s="1658"/>
      <c r="AJ50" s="1658"/>
      <c r="AK50" s="1658"/>
      <c r="AL50" s="1658"/>
      <c r="AM50" s="1658"/>
      <c r="AN50" s="1658"/>
      <c r="AO50" s="1658"/>
      <c r="AP50" s="1658"/>
      <c r="AQ50" s="1658"/>
      <c r="AR50" s="1658"/>
      <c r="AS50" s="1658"/>
      <c r="AT50" s="1658"/>
      <c r="AU50" s="1658"/>
      <c r="AV50" s="1658"/>
      <c r="AW50" s="1658"/>
      <c r="AX50" s="1658"/>
      <c r="AY50" s="1658"/>
      <c r="AZ50" s="1658"/>
      <c r="BA50" s="1658"/>
      <c r="BB50" s="1658"/>
    </row>
    <row r="51" spans="1:54" ht="29.25" customHeight="1" thickBot="1" x14ac:dyDescent="0.3">
      <c r="A51" s="262"/>
      <c r="B51" s="2067"/>
      <c r="C51" s="2124"/>
      <c r="D51" s="2037"/>
      <c r="E51" s="2037"/>
      <c r="F51" s="2065"/>
      <c r="G51" s="1713">
        <f>ROUND('Звіт   9'!H30,1)</f>
        <v>0</v>
      </c>
      <c r="H51" s="1713">
        <f>ROUND('Звіт   4,5,6'!H12/1000,1)</f>
        <v>14296.3</v>
      </c>
      <c r="I51" s="1713">
        <f>ROUND('Звіт   9'!H83,1)</f>
        <v>0</v>
      </c>
      <c r="J51" s="1713">
        <f>ROUND('Дод_Надходж ПМГ '!E9/1000,1)</f>
        <v>14296.3</v>
      </c>
      <c r="K51" s="1742">
        <f>ROUND('Звіт   9'!K30,1)</f>
        <v>0</v>
      </c>
      <c r="L51" s="1733">
        <f>ROUND('Звіт   9'!K83,1)</f>
        <v>0</v>
      </c>
      <c r="M51" s="1742">
        <f>ROUND((G51+H51-I51-J51),1)</f>
        <v>0</v>
      </c>
      <c r="N51" s="1742" t="b">
        <f>IF(AND(M51&gt;0,L51=0),ROUND((G51+H51-I51-J51),1))</f>
        <v>0</v>
      </c>
      <c r="O51" s="1845" t="b">
        <f>IF(AND(M51&lt;0,K51=0),-ROUND((G51+H51-I51-J51),1))</f>
        <v>0</v>
      </c>
      <c r="P51" s="2177"/>
      <c r="Q51" s="1659"/>
      <c r="R51" s="1659"/>
      <c r="S51" s="1659"/>
      <c r="T51" s="1659"/>
      <c r="U51" s="1659"/>
      <c r="V51" s="1659"/>
      <c r="W51" s="1659"/>
      <c r="X51" s="1659"/>
      <c r="Y51" s="1659"/>
      <c r="Z51" s="1659"/>
      <c r="AA51" s="1659"/>
      <c r="AB51" s="1659"/>
      <c r="AC51" s="1659"/>
      <c r="AD51" s="1658"/>
      <c r="AE51" s="1658"/>
      <c r="AF51" s="1658"/>
      <c r="AG51" s="1658"/>
      <c r="AH51" s="1658"/>
      <c r="AI51" s="1658"/>
      <c r="AJ51" s="1658"/>
      <c r="AK51" s="1658"/>
      <c r="AL51" s="1658"/>
      <c r="AM51" s="1658"/>
      <c r="AN51" s="1658"/>
      <c r="AO51" s="1658"/>
      <c r="AP51" s="1658"/>
      <c r="AQ51" s="1658"/>
      <c r="AR51" s="1658"/>
      <c r="AS51" s="1658"/>
      <c r="AT51" s="1658"/>
      <c r="AU51" s="1658"/>
      <c r="AV51" s="1658"/>
      <c r="AW51" s="1658"/>
      <c r="AX51" s="1658"/>
      <c r="AY51" s="1658"/>
      <c r="AZ51" s="1658"/>
      <c r="BA51" s="1658"/>
      <c r="BB51" s="1658"/>
    </row>
    <row r="52" spans="1:54" ht="31.5" thickBot="1" x14ac:dyDescent="0.3">
      <c r="A52" s="262"/>
      <c r="B52" s="1788"/>
      <c r="C52" s="1846" t="s">
        <v>357</v>
      </c>
      <c r="D52" s="1847"/>
      <c r="E52" s="1848"/>
      <c r="F52" s="1650"/>
      <c r="G52" s="1849"/>
      <c r="H52" s="1850"/>
      <c r="I52" s="1673"/>
      <c r="J52" s="1673"/>
      <c r="K52" s="1673"/>
      <c r="L52" s="1673"/>
      <c r="M52" s="1673"/>
      <c r="N52" s="1673"/>
      <c r="O52" s="1673"/>
      <c r="P52" s="1851"/>
      <c r="Q52" s="1659"/>
      <c r="R52" s="1659"/>
      <c r="S52" s="1659"/>
      <c r="T52" s="1659"/>
      <c r="U52" s="1659"/>
      <c r="V52" s="1659"/>
      <c r="W52" s="1659"/>
      <c r="X52" s="1659"/>
      <c r="Y52" s="1659"/>
      <c r="Z52" s="1659"/>
      <c r="AA52" s="1659"/>
      <c r="AB52" s="1659"/>
      <c r="AC52" s="1659"/>
      <c r="AD52" s="1658"/>
      <c r="AE52" s="1658"/>
      <c r="AF52" s="1658"/>
      <c r="AG52" s="1658"/>
      <c r="AH52" s="1658"/>
      <c r="AI52" s="1658"/>
      <c r="AJ52" s="1658"/>
      <c r="AK52" s="1658"/>
      <c r="AL52" s="1658"/>
      <c r="AM52" s="1658"/>
      <c r="AN52" s="1658"/>
      <c r="AO52" s="1658"/>
      <c r="AP52" s="1658"/>
      <c r="AQ52" s="1658"/>
      <c r="AR52" s="1658"/>
      <c r="AS52" s="1658"/>
      <c r="AT52" s="1658"/>
      <c r="AU52" s="1658"/>
      <c r="AV52" s="1658"/>
      <c r="AW52" s="1658"/>
      <c r="AX52" s="1658"/>
      <c r="AY52" s="1658"/>
      <c r="AZ52" s="1658"/>
      <c r="BA52" s="1658"/>
      <c r="BB52" s="1658"/>
    </row>
    <row r="53" spans="1:54" ht="26.25" customHeight="1" x14ac:dyDescent="0.25">
      <c r="A53" s="262"/>
      <c r="B53" s="2066" t="s">
        <v>401</v>
      </c>
      <c r="C53" s="2093" t="s">
        <v>358</v>
      </c>
      <c r="D53" s="2132" t="s">
        <v>343</v>
      </c>
      <c r="E53" s="2134" t="s">
        <v>344</v>
      </c>
      <c r="F53" s="2072" t="str">
        <f>IF('Звіт   4,5,6'!E39=0,"Дані не введено",IF(AND(G54&gt;0,H54&gt;=0.5*G54),"ПРАВДА","ПОМИЛКА"))</f>
        <v>ПРАВДА</v>
      </c>
      <c r="G53" s="1704" t="s">
        <v>1818</v>
      </c>
      <c r="H53" s="1852">
        <v>903</v>
      </c>
      <c r="I53" s="1673"/>
      <c r="J53" s="1673"/>
      <c r="K53" s="1673"/>
      <c r="L53" s="1673"/>
      <c r="M53" s="1673"/>
      <c r="N53" s="1673"/>
      <c r="O53" s="1673"/>
      <c r="P53" s="1851"/>
      <c r="Q53" s="1659"/>
      <c r="R53" s="1659"/>
      <c r="S53" s="1659"/>
      <c r="T53" s="1659"/>
      <c r="U53" s="1659"/>
      <c r="V53" s="1659"/>
      <c r="W53" s="1659"/>
      <c r="X53" s="1659"/>
      <c r="Y53" s="1659"/>
      <c r="Z53" s="1659"/>
      <c r="AA53" s="1659"/>
      <c r="AB53" s="1659"/>
      <c r="AC53" s="1659"/>
      <c r="AD53" s="1658"/>
      <c r="AE53" s="1658"/>
      <c r="AF53" s="1658"/>
      <c r="AG53" s="1658"/>
      <c r="AH53" s="1658"/>
      <c r="AI53" s="1658"/>
      <c r="AJ53" s="1658"/>
      <c r="AK53" s="1658"/>
      <c r="AL53" s="1658"/>
      <c r="AM53" s="1658"/>
      <c r="AN53" s="1658"/>
      <c r="AO53" s="1658"/>
      <c r="AP53" s="1658"/>
      <c r="AQ53" s="1658"/>
      <c r="AR53" s="1658"/>
      <c r="AS53" s="1658"/>
      <c r="AT53" s="1658"/>
      <c r="AU53" s="1658"/>
      <c r="AV53" s="1658"/>
      <c r="AW53" s="1658"/>
      <c r="AX53" s="1658"/>
      <c r="AY53" s="1658"/>
      <c r="AZ53" s="1658"/>
      <c r="BA53" s="1658"/>
      <c r="BB53" s="1658"/>
    </row>
    <row r="54" spans="1:54" ht="24" customHeight="1" thickBot="1" x14ac:dyDescent="0.3">
      <c r="A54" s="262"/>
      <c r="B54" s="2067"/>
      <c r="C54" s="2131"/>
      <c r="D54" s="2133"/>
      <c r="E54" s="2135"/>
      <c r="F54" s="2076"/>
      <c r="G54" s="1853">
        <f>'Звіт   4,5,6'!H12/1000</f>
        <v>14296.308999999999</v>
      </c>
      <c r="H54" s="1854">
        <f>'Звіт   4,5,6'!G38/1000</f>
        <v>22559.737000000001</v>
      </c>
      <c r="I54" s="1673"/>
      <c r="J54" s="1673"/>
      <c r="K54" s="1673"/>
      <c r="L54" s="1673"/>
      <c r="M54" s="1673"/>
      <c r="N54" s="1673"/>
      <c r="O54" s="1673"/>
      <c r="P54" s="1851"/>
      <c r="Q54" s="1659"/>
      <c r="R54" s="1659"/>
      <c r="S54" s="1659"/>
      <c r="T54" s="1659"/>
      <c r="U54" s="1659"/>
      <c r="V54" s="1659"/>
      <c r="W54" s="1659"/>
      <c r="X54" s="1659"/>
      <c r="Y54" s="1659"/>
      <c r="Z54" s="1659"/>
      <c r="AA54" s="1659"/>
      <c r="AB54" s="1659"/>
      <c r="AC54" s="1659"/>
      <c r="AD54" s="1658"/>
      <c r="AE54" s="1658"/>
      <c r="AF54" s="1658"/>
      <c r="AG54" s="1658"/>
      <c r="AH54" s="1658"/>
      <c r="AI54" s="1658"/>
      <c r="AJ54" s="1658"/>
      <c r="AK54" s="1658"/>
      <c r="AL54" s="1658"/>
      <c r="AM54" s="1658"/>
      <c r="AN54" s="1658"/>
      <c r="AO54" s="1658"/>
      <c r="AP54" s="1658"/>
      <c r="AQ54" s="1658"/>
      <c r="AR54" s="1658"/>
      <c r="AS54" s="1658"/>
      <c r="AT54" s="1658"/>
      <c r="AU54" s="1658"/>
      <c r="AV54" s="1658"/>
      <c r="AW54" s="1658"/>
      <c r="AX54" s="1658"/>
      <c r="AY54" s="1658"/>
      <c r="AZ54" s="1658"/>
      <c r="BA54" s="1658"/>
      <c r="BB54" s="1658"/>
    </row>
    <row r="55" spans="1:54" ht="138.75" customHeight="1" x14ac:dyDescent="0.25">
      <c r="A55" s="262"/>
      <c r="B55" s="2066" t="s">
        <v>402</v>
      </c>
      <c r="C55" s="2077" t="s">
        <v>1574</v>
      </c>
      <c r="D55" s="2036" t="s">
        <v>343</v>
      </c>
      <c r="E55" s="2036" t="s">
        <v>344</v>
      </c>
      <c r="F55" s="2125" t="str">
        <f>IF('Звіт   4,5,6'!E39=0,"Дані не введено",IF(AND(G56="ПРАВДА",H56="ПРАВДА"),"ПРАВДА","ПОМИЛКА"))</f>
        <v>ПРАВДА</v>
      </c>
      <c r="G55" s="1770" t="s">
        <v>1257</v>
      </c>
      <c r="H55" s="1855" t="s">
        <v>1258</v>
      </c>
      <c r="I55" s="1673"/>
      <c r="J55" s="1673"/>
      <c r="K55" s="1673"/>
      <c r="L55" s="1673"/>
      <c r="M55" s="1673"/>
      <c r="N55" s="1673"/>
      <c r="O55" s="1673"/>
      <c r="P55" s="1681"/>
      <c r="Q55" s="1659"/>
      <c r="R55" s="1659"/>
      <c r="S55" s="1659"/>
      <c r="T55" s="1659"/>
      <c r="U55" s="1659"/>
      <c r="V55" s="1659"/>
      <c r="W55" s="1659"/>
      <c r="X55" s="1659"/>
      <c r="Y55" s="1659"/>
      <c r="Z55" s="1659"/>
      <c r="AA55" s="1659"/>
      <c r="AB55" s="1659"/>
      <c r="AC55" s="1659"/>
      <c r="AD55" s="1658"/>
      <c r="AE55" s="1658"/>
      <c r="AF55" s="1658"/>
      <c r="AG55" s="1658"/>
      <c r="AH55" s="1658"/>
      <c r="AI55" s="1658"/>
      <c r="AJ55" s="1658"/>
      <c r="AK55" s="1658"/>
      <c r="AL55" s="1658"/>
      <c r="AM55" s="1658"/>
      <c r="AN55" s="1658"/>
      <c r="AO55" s="1658"/>
      <c r="AP55" s="1658"/>
      <c r="AQ55" s="1658"/>
      <c r="AR55" s="1658"/>
      <c r="AS55" s="1658"/>
      <c r="AT55" s="1658"/>
      <c r="AU55" s="1658"/>
      <c r="AV55" s="1658"/>
      <c r="AW55" s="1658"/>
      <c r="AX55" s="1658"/>
      <c r="AY55" s="1658"/>
      <c r="AZ55" s="1658"/>
      <c r="BA55" s="1658"/>
      <c r="BB55" s="1658"/>
    </row>
    <row r="56" spans="1:54" ht="27" customHeight="1" thickBot="1" x14ac:dyDescent="0.3">
      <c r="A56" s="262"/>
      <c r="B56" s="2067"/>
      <c r="C56" s="2078"/>
      <c r="D56" s="2037"/>
      <c r="E56" s="2037"/>
      <c r="F56" s="2126"/>
      <c r="G56" s="1648" t="str">
        <f>'Звіт  7,8'!L40</f>
        <v>ПРАВДА</v>
      </c>
      <c r="H56" s="888" t="str">
        <f>'Звіт  7,8'!M40</f>
        <v>ПРАВДА</v>
      </c>
      <c r="I56" s="1673"/>
      <c r="J56" s="1673"/>
      <c r="K56" s="1673"/>
      <c r="L56" s="1673"/>
      <c r="M56" s="1673"/>
      <c r="N56" s="1673"/>
      <c r="O56" s="1673"/>
      <c r="P56" s="1659"/>
      <c r="Q56" s="1659"/>
      <c r="R56" s="1659"/>
      <c r="S56" s="1659"/>
      <c r="T56" s="1659"/>
      <c r="U56" s="1659"/>
      <c r="V56" s="1659"/>
      <c r="W56" s="1659"/>
      <c r="X56" s="1659"/>
      <c r="Y56" s="1659"/>
      <c r="Z56" s="1659"/>
      <c r="AA56" s="1659"/>
      <c r="AB56" s="1659"/>
      <c r="AC56" s="1659"/>
      <c r="AD56" s="1658"/>
      <c r="AE56" s="1658"/>
      <c r="AF56" s="1658"/>
      <c r="AG56" s="1658"/>
      <c r="AH56" s="1658"/>
      <c r="AI56" s="1658"/>
      <c r="AJ56" s="1658"/>
      <c r="AK56" s="1658"/>
      <c r="AL56" s="1658"/>
      <c r="AM56" s="1658"/>
      <c r="AN56" s="1658"/>
      <c r="AO56" s="1658"/>
      <c r="AP56" s="1658"/>
      <c r="AQ56" s="1658"/>
      <c r="AR56" s="1658"/>
      <c r="AS56" s="1658"/>
      <c r="AT56" s="1658"/>
      <c r="AU56" s="1658"/>
      <c r="AV56" s="1658"/>
      <c r="AW56" s="1658"/>
      <c r="AX56" s="1658"/>
      <c r="AY56" s="1658"/>
      <c r="AZ56" s="1658"/>
      <c r="BA56" s="1658"/>
      <c r="BB56" s="1658"/>
    </row>
    <row r="57" spans="1:54" ht="19.5" thickBot="1" x14ac:dyDescent="0.35">
      <c r="A57" s="262"/>
      <c r="B57" s="1673"/>
      <c r="C57" s="1856" t="s">
        <v>36</v>
      </c>
      <c r="D57" s="1857"/>
      <c r="E57" s="1701"/>
      <c r="F57" s="1858"/>
      <c r="G57" s="1673"/>
      <c r="H57" s="1803"/>
      <c r="I57" s="1803"/>
      <c r="J57" s="1803"/>
      <c r="K57" s="1803"/>
      <c r="L57" s="1803"/>
      <c r="M57" s="1803"/>
      <c r="N57" s="1673"/>
      <c r="O57" s="1673"/>
      <c r="P57" s="1659"/>
      <c r="Q57" s="1659"/>
      <c r="R57" s="1659"/>
      <c r="S57" s="1659"/>
      <c r="T57" s="1659"/>
      <c r="U57" s="1659"/>
      <c r="V57" s="1659"/>
      <c r="W57" s="1659"/>
      <c r="X57" s="1659"/>
      <c r="Y57" s="1659"/>
      <c r="Z57" s="1659"/>
      <c r="AA57" s="1659"/>
      <c r="AB57" s="1659"/>
      <c r="AC57" s="1659"/>
      <c r="AD57" s="1658"/>
      <c r="AE57" s="1658"/>
      <c r="AF57" s="1658"/>
      <c r="AG57" s="1658"/>
      <c r="AH57" s="1658"/>
      <c r="AI57" s="1658"/>
      <c r="AJ57" s="1658"/>
      <c r="AK57" s="1658"/>
      <c r="AL57" s="1658"/>
      <c r="AM57" s="1658"/>
      <c r="AN57" s="1658"/>
      <c r="AO57" s="1658"/>
      <c r="AP57" s="1658"/>
      <c r="AQ57" s="1658"/>
      <c r="AR57" s="1658"/>
      <c r="AS57" s="1658"/>
      <c r="AT57" s="1658"/>
      <c r="AU57" s="1658"/>
      <c r="AV57" s="1658"/>
      <c r="AW57" s="1658"/>
      <c r="AX57" s="1658"/>
      <c r="AY57" s="1658"/>
      <c r="AZ57" s="1658"/>
      <c r="BA57" s="1658"/>
      <c r="BB57" s="1658"/>
    </row>
    <row r="58" spans="1:54" ht="34.5" customHeight="1" thickBot="1" x14ac:dyDescent="0.3">
      <c r="A58" s="262"/>
      <c r="B58" s="1859" t="s">
        <v>424</v>
      </c>
      <c r="C58" s="1860" t="s">
        <v>1514</v>
      </c>
      <c r="D58" s="1762" t="s">
        <v>343</v>
      </c>
      <c r="E58" s="1762" t="s">
        <v>344</v>
      </c>
      <c r="F58" s="154" t="str">
        <f>IF('Звіт   4,5,6'!E39=0,"Дані не введено",IF((('Звіт   4,5,6'!H23+'Звіт   4,5,6'!H24+'Звіт 10, 11,12,13,14'!G87)/1000)&lt;=('Звіт   4,5,6'!G102/1000),"ПРАВДА","ПОМИЛКА"))</f>
        <v>ПРАВДА</v>
      </c>
      <c r="G58" s="1681"/>
      <c r="H58" s="1803"/>
      <c r="I58" s="1803"/>
      <c r="J58" s="1803"/>
      <c r="K58" s="1803"/>
      <c r="L58" s="1803"/>
      <c r="M58" s="1803"/>
      <c r="N58" s="1803"/>
      <c r="O58" s="1803"/>
      <c r="P58" s="1659"/>
      <c r="Q58" s="1659"/>
      <c r="R58" s="1659"/>
      <c r="S58" s="1659"/>
      <c r="T58" s="1659"/>
      <c r="U58" s="1659"/>
      <c r="V58" s="1659"/>
      <c r="W58" s="1659"/>
      <c r="X58" s="1659"/>
      <c r="Y58" s="1659"/>
      <c r="Z58" s="1659"/>
      <c r="AA58" s="1659"/>
      <c r="AB58" s="1659"/>
      <c r="AC58" s="1659"/>
      <c r="AD58" s="1658"/>
      <c r="AE58" s="1658"/>
      <c r="AF58" s="1658"/>
      <c r="AG58" s="1658"/>
      <c r="AH58" s="1658"/>
      <c r="AI58" s="1658"/>
      <c r="AJ58" s="1658"/>
      <c r="AK58" s="1658"/>
      <c r="AL58" s="1658"/>
      <c r="AM58" s="1658"/>
      <c r="AN58" s="1658"/>
      <c r="AO58" s="1658"/>
      <c r="AP58" s="1658"/>
      <c r="AQ58" s="1658"/>
      <c r="AR58" s="1658"/>
      <c r="AS58" s="1658"/>
      <c r="AT58" s="1658"/>
      <c r="AU58" s="1658"/>
      <c r="AV58" s="1658"/>
      <c r="AW58" s="1658"/>
      <c r="AX58" s="1658"/>
      <c r="AY58" s="1658"/>
      <c r="AZ58" s="1658"/>
      <c r="BA58" s="1658"/>
      <c r="BB58" s="1658"/>
    </row>
    <row r="59" spans="1:54" ht="25.15" customHeight="1" x14ac:dyDescent="0.25">
      <c r="A59" s="262"/>
      <c r="B59" s="2066" t="s">
        <v>1511</v>
      </c>
      <c r="C59" s="2077" t="s">
        <v>1259</v>
      </c>
      <c r="D59" s="2036" t="s">
        <v>343</v>
      </c>
      <c r="E59" s="2036" t="s">
        <v>349</v>
      </c>
      <c r="F59" s="2042" t="str">
        <f>IF('Звіт   4,5,6'!E39=0,"Дані не введено",IF(OR(G60=0,G60&gt;=50),"ПРАВДА","ПОМИЛКА"))</f>
        <v>ПРАВДА</v>
      </c>
      <c r="G59" s="1652" t="s">
        <v>630</v>
      </c>
      <c r="H59" s="1803"/>
      <c r="I59" s="1803"/>
      <c r="J59" s="1803"/>
      <c r="K59" s="1803"/>
      <c r="L59" s="1803"/>
      <c r="M59" s="1803"/>
      <c r="N59" s="1803"/>
      <c r="O59" s="1803"/>
      <c r="P59" s="1659"/>
      <c r="Q59" s="1659"/>
      <c r="R59" s="1659"/>
      <c r="S59" s="1659"/>
      <c r="T59" s="1659"/>
      <c r="U59" s="1659"/>
      <c r="V59" s="1659"/>
      <c r="W59" s="1659"/>
      <c r="X59" s="1659"/>
      <c r="Y59" s="1659"/>
      <c r="Z59" s="1659"/>
      <c r="AA59" s="1659"/>
      <c r="AB59" s="1659"/>
      <c r="AC59" s="1659"/>
      <c r="AD59" s="1658"/>
      <c r="AE59" s="1658"/>
      <c r="AF59" s="1658"/>
      <c r="AG59" s="1658"/>
      <c r="AH59" s="1658"/>
      <c r="AI59" s="1658"/>
      <c r="AJ59" s="1658"/>
      <c r="AK59" s="1658"/>
      <c r="AL59" s="1658"/>
      <c r="AM59" s="1658"/>
      <c r="AN59" s="1658"/>
      <c r="AO59" s="1658"/>
      <c r="AP59" s="1658"/>
      <c r="AQ59" s="1658"/>
      <c r="AR59" s="1658"/>
      <c r="AS59" s="1658"/>
      <c r="AT59" s="1658"/>
      <c r="AU59" s="1658"/>
      <c r="AV59" s="1658"/>
      <c r="AW59" s="1658"/>
      <c r="AX59" s="1658"/>
      <c r="AY59" s="1658"/>
      <c r="AZ59" s="1658"/>
      <c r="BA59" s="1658"/>
      <c r="BB59" s="1658"/>
    </row>
    <row r="60" spans="1:54" ht="50.45" customHeight="1" thickBot="1" x14ac:dyDescent="0.3">
      <c r="A60" s="262"/>
      <c r="B60" s="2067"/>
      <c r="C60" s="2078"/>
      <c r="D60" s="2037"/>
      <c r="E60" s="2037"/>
      <c r="F60" s="2121"/>
      <c r="G60" s="1845">
        <f>'Звіт   4,5,6'!H23</f>
        <v>95796</v>
      </c>
      <c r="H60" s="1803"/>
      <c r="I60" s="1803"/>
      <c r="J60" s="1803"/>
      <c r="K60" s="1803"/>
      <c r="L60" s="1803"/>
      <c r="M60" s="1803"/>
      <c r="N60" s="1803"/>
      <c r="O60" s="1803"/>
      <c r="P60" s="1659"/>
      <c r="Q60" s="1659"/>
      <c r="R60" s="1659"/>
      <c r="S60" s="1659"/>
      <c r="T60" s="1659"/>
      <c r="U60" s="1659"/>
      <c r="V60" s="1659"/>
      <c r="W60" s="1659"/>
      <c r="X60" s="1659"/>
      <c r="Y60" s="1659"/>
      <c r="Z60" s="1659"/>
      <c r="AA60" s="1659"/>
      <c r="AB60" s="1659"/>
      <c r="AC60" s="1659"/>
      <c r="AD60" s="1658"/>
      <c r="AE60" s="1658"/>
      <c r="AF60" s="1658"/>
      <c r="AG60" s="1658"/>
      <c r="AH60" s="1658"/>
      <c r="AI60" s="1658"/>
      <c r="AJ60" s="1658"/>
      <c r="AK60" s="1658"/>
      <c r="AL60" s="1658"/>
      <c r="AM60" s="1658"/>
      <c r="AN60" s="1658"/>
      <c r="AO60" s="1658"/>
      <c r="AP60" s="1658"/>
      <c r="AQ60" s="1658"/>
      <c r="AR60" s="1658"/>
      <c r="AS60" s="1658"/>
      <c r="AT60" s="1658"/>
      <c r="AU60" s="1658"/>
      <c r="AV60" s="1658"/>
      <c r="AW60" s="1658"/>
      <c r="AX60" s="1658"/>
      <c r="AY60" s="1658"/>
      <c r="AZ60" s="1658"/>
      <c r="BA60" s="1658"/>
      <c r="BB60" s="1658"/>
    </row>
    <row r="61" spans="1:54" ht="42" customHeight="1" x14ac:dyDescent="0.25">
      <c r="A61" s="262"/>
      <c r="B61" s="2066" t="s">
        <v>1512</v>
      </c>
      <c r="C61" s="2079" t="s">
        <v>837</v>
      </c>
      <c r="D61" s="2081" t="s">
        <v>343</v>
      </c>
      <c r="E61" s="2081" t="s">
        <v>349</v>
      </c>
      <c r="F61" s="2122" t="str">
        <f>IF('Звіт   4,5,6'!E39=0,"Дані не введено",IF(OR(G62=0,G62&gt;=50),"ПРАВДА","ПОМИЛКА"))</f>
        <v>ПРАВДА</v>
      </c>
      <c r="G61" s="1861" t="s">
        <v>631</v>
      </c>
      <c r="H61" s="1803"/>
      <c r="I61" s="1673"/>
      <c r="J61" s="1673"/>
      <c r="K61" s="1673"/>
      <c r="L61" s="1803"/>
      <c r="M61" s="1803"/>
      <c r="N61" s="1803"/>
      <c r="O61" s="1803"/>
      <c r="P61" s="1659"/>
      <c r="Q61" s="1659"/>
      <c r="R61" s="1659"/>
      <c r="S61" s="1659"/>
      <c r="T61" s="1659"/>
      <c r="U61" s="1659"/>
      <c r="V61" s="1651"/>
      <c r="W61" s="1659"/>
      <c r="X61" s="1659"/>
      <c r="Y61" s="1659"/>
      <c r="Z61" s="1659"/>
      <c r="AA61" s="1659"/>
      <c r="AB61" s="1659"/>
      <c r="AC61" s="1659"/>
      <c r="AD61" s="1658"/>
      <c r="AE61" s="1658"/>
      <c r="AF61" s="1658"/>
      <c r="AG61" s="1658"/>
      <c r="AH61" s="1658"/>
      <c r="AI61" s="1658"/>
      <c r="AJ61" s="1658"/>
      <c r="AK61" s="1658"/>
      <c r="AL61" s="1658"/>
      <c r="AM61" s="1658"/>
      <c r="AN61" s="1658"/>
      <c r="AO61" s="1658"/>
      <c r="AP61" s="1658"/>
      <c r="AQ61" s="1658"/>
      <c r="AR61" s="1658"/>
      <c r="AS61" s="1658"/>
      <c r="AT61" s="1658"/>
      <c r="AU61" s="1658"/>
      <c r="AV61" s="1658"/>
      <c r="AW61" s="1658"/>
      <c r="AX61" s="1658"/>
      <c r="AY61" s="1658"/>
      <c r="AZ61" s="1658"/>
      <c r="BA61" s="1658"/>
      <c r="BB61" s="1658"/>
    </row>
    <row r="62" spans="1:54" ht="25.15" customHeight="1" thickBot="1" x14ac:dyDescent="0.35">
      <c r="A62" s="262"/>
      <c r="B62" s="2067"/>
      <c r="C62" s="2078"/>
      <c r="D62" s="2037"/>
      <c r="E62" s="2037"/>
      <c r="F62" s="2121"/>
      <c r="G62" s="1845">
        <f>'Звіт   4,5,6'!H24</f>
        <v>21500</v>
      </c>
      <c r="H62" s="1673"/>
      <c r="I62" s="1673"/>
      <c r="J62" s="1673"/>
      <c r="K62" s="1673"/>
      <c r="L62" s="1658"/>
      <c r="M62" s="1658"/>
      <c r="N62" s="1841"/>
      <c r="O62" s="1803"/>
      <c r="P62" s="1659"/>
      <c r="Q62" s="1659"/>
      <c r="R62" s="1659"/>
      <c r="S62" s="1659"/>
      <c r="T62" s="1659"/>
      <c r="U62" s="1659"/>
      <c r="V62" s="1651"/>
      <c r="W62" s="1659"/>
      <c r="X62" s="1659"/>
      <c r="Y62" s="1659"/>
      <c r="Z62" s="1659"/>
      <c r="AA62" s="1659"/>
      <c r="AB62" s="1659"/>
      <c r="AC62" s="1659"/>
      <c r="AD62" s="1658"/>
      <c r="AE62" s="1658"/>
      <c r="AF62" s="1658"/>
      <c r="AG62" s="1658"/>
      <c r="AH62" s="1658"/>
      <c r="AI62" s="1658"/>
      <c r="AJ62" s="1658"/>
      <c r="AK62" s="1658"/>
      <c r="AL62" s="1658"/>
      <c r="AM62" s="1658"/>
      <c r="AN62" s="1658"/>
      <c r="AO62" s="1658"/>
      <c r="AP62" s="1658"/>
      <c r="AQ62" s="1658"/>
      <c r="AR62" s="1658"/>
      <c r="AS62" s="1658"/>
      <c r="AT62" s="1658"/>
      <c r="AU62" s="1658"/>
      <c r="AV62" s="1658"/>
      <c r="AW62" s="1658"/>
      <c r="AX62" s="1658"/>
      <c r="AY62" s="1658"/>
      <c r="AZ62" s="1658"/>
      <c r="BA62" s="1658"/>
      <c r="BB62" s="1658"/>
    </row>
    <row r="63" spans="1:54" ht="78.75" customHeight="1" thickBot="1" x14ac:dyDescent="0.3">
      <c r="A63" s="262"/>
      <c r="B63" s="1721"/>
      <c r="C63" s="1821"/>
      <c r="D63" s="1722"/>
      <c r="E63" s="1722"/>
      <c r="F63" s="1651"/>
      <c r="G63" s="1838"/>
      <c r="H63" s="1838"/>
      <c r="I63" s="1755"/>
      <c r="J63" s="2151" t="s">
        <v>1611</v>
      </c>
      <c r="K63" s="2152"/>
      <c r="L63" s="2172" t="s">
        <v>1786</v>
      </c>
      <c r="M63" s="2086"/>
      <c r="N63" s="2086"/>
      <c r="O63" s="2086"/>
      <c r="P63" s="2086"/>
      <c r="Q63" s="2173"/>
      <c r="R63" s="2154" t="s">
        <v>1793</v>
      </c>
      <c r="S63" s="2154"/>
      <c r="T63" s="2154"/>
      <c r="U63" s="2154"/>
      <c r="V63" s="2154"/>
      <c r="W63" s="2154"/>
      <c r="X63" s="2155"/>
      <c r="Y63" s="2167" t="s">
        <v>1225</v>
      </c>
      <c r="Z63" s="2168"/>
      <c r="AA63" s="2168"/>
      <c r="AB63" s="2169"/>
      <c r="AC63" s="2170" t="s">
        <v>1226</v>
      </c>
      <c r="AD63" s="2168"/>
      <c r="AE63" s="2168"/>
      <c r="AF63" s="2171"/>
      <c r="AG63" s="1658"/>
      <c r="AH63" s="1658"/>
      <c r="AI63" s="1658"/>
      <c r="AJ63" s="1658"/>
      <c r="AK63" s="1658"/>
      <c r="AL63" s="1658"/>
      <c r="AM63" s="1658"/>
      <c r="AN63" s="1658"/>
      <c r="AO63" s="1658"/>
      <c r="AP63" s="1658"/>
      <c r="AQ63" s="1658"/>
      <c r="AR63" s="1658"/>
      <c r="AS63" s="1658"/>
      <c r="AT63" s="1658"/>
      <c r="AU63" s="1658"/>
      <c r="AV63" s="1658"/>
      <c r="AW63" s="1658"/>
      <c r="AX63" s="1658"/>
      <c r="AY63" s="1658"/>
      <c r="AZ63" s="1658"/>
      <c r="BA63" s="1658"/>
      <c r="BB63" s="1658"/>
    </row>
    <row r="64" spans="1:54" ht="99" customHeight="1" x14ac:dyDescent="0.25">
      <c r="A64" s="262"/>
      <c r="B64" s="2066" t="s">
        <v>1513</v>
      </c>
      <c r="C64" s="2118" t="s">
        <v>1812</v>
      </c>
      <c r="D64" s="2036" t="s">
        <v>343</v>
      </c>
      <c r="E64" s="2036" t="s">
        <v>349</v>
      </c>
      <c r="F64" s="2072" t="str">
        <f>IF('Звіт   4,5,6'!E39=0,"Дані не введено",IF(AND(G65="ПРАВДА",H65="ПРАВДА",I65="ПРАВДА",J65="ПРАВДА",K65="ПРАВДА",Y65&gt;=0,Z65&gt;=0,AA65&gt;=0,AB65&gt;=0,AC65&gt;=0,AD65&gt;=0,AE65&gt;=0,AF65&gt;=0,Q65="ПРАВДА",X65="ПРАВДА"),"ПРАВДА","ПОМИЛКА"))</f>
        <v>ПРАВДА</v>
      </c>
      <c r="G64" s="1728" t="s">
        <v>1813</v>
      </c>
      <c r="H64" s="1728" t="s">
        <v>1515</v>
      </c>
      <c r="I64" s="1862" t="s">
        <v>1516</v>
      </c>
      <c r="J64" s="1863" t="s">
        <v>1522</v>
      </c>
      <c r="K64" s="1864" t="s">
        <v>1523</v>
      </c>
      <c r="L64" s="1865" t="s">
        <v>1832</v>
      </c>
      <c r="M64" s="1793" t="s">
        <v>1833</v>
      </c>
      <c r="N64" s="1793" t="s">
        <v>1831</v>
      </c>
      <c r="O64" s="1793" t="s">
        <v>1814</v>
      </c>
      <c r="P64" s="1793" t="s">
        <v>1815</v>
      </c>
      <c r="Q64" s="1797"/>
      <c r="R64" s="1865" t="s">
        <v>1789</v>
      </c>
      <c r="S64" s="1793" t="s">
        <v>1787</v>
      </c>
      <c r="T64" s="1793" t="s">
        <v>1790</v>
      </c>
      <c r="U64" s="1793" t="s">
        <v>1788</v>
      </c>
      <c r="V64" s="1866" t="s">
        <v>1791</v>
      </c>
      <c r="W64" s="1866" t="s">
        <v>1792</v>
      </c>
      <c r="X64" s="1797"/>
      <c r="Y64" s="1867" t="str">
        <f>AC64</f>
        <v>Безоплатно отримані</v>
      </c>
      <c r="Z64" s="1868" t="str">
        <f>AD64</f>
        <v>Отримані як цільове фінансування</v>
      </c>
      <c r="AA64" s="1868" t="str">
        <f>AE64</f>
        <v>Отримано як статутний капітал</v>
      </c>
      <c r="AB64" s="1868" t="str">
        <f>AF64</f>
        <v>Інше (ПМГ та власні кошти)</v>
      </c>
      <c r="AC64" s="1868" t="str">
        <f>'Звіт 10, 11,12,13,14'!AC8</f>
        <v>Безоплатно отримані</v>
      </c>
      <c r="AD64" s="1868" t="str">
        <f>'Звіт 10, 11,12,13,14'!AD8</f>
        <v>Отримані як цільове фінансування</v>
      </c>
      <c r="AE64" s="1868" t="str">
        <f>'Звіт 10, 11,12,13,14'!AE8</f>
        <v>Отримано як статутний капітал</v>
      </c>
      <c r="AF64" s="1869" t="str">
        <f>'Звіт 10, 11,12,13,14'!AF8</f>
        <v>Інше (ПМГ та власні кошти)</v>
      </c>
      <c r="AG64" s="1658"/>
      <c r="AH64" s="1658"/>
      <c r="AI64" s="1658"/>
      <c r="AJ64" s="1658"/>
      <c r="AK64" s="1658"/>
      <c r="AL64" s="1658"/>
      <c r="AM64" s="1658"/>
      <c r="AN64" s="1658"/>
      <c r="AO64" s="1658"/>
      <c r="AP64" s="1658"/>
      <c r="AQ64" s="1658"/>
      <c r="AR64" s="1658"/>
      <c r="AS64" s="1658"/>
      <c r="AT64" s="1658"/>
      <c r="AU64" s="1658"/>
      <c r="AV64" s="1658"/>
      <c r="AW64" s="1658"/>
      <c r="AX64" s="1658"/>
      <c r="AY64" s="1658"/>
      <c r="AZ64" s="1658"/>
      <c r="BA64" s="1658"/>
      <c r="BB64" s="1658"/>
    </row>
    <row r="65" spans="1:54" ht="87.75" customHeight="1" thickBot="1" x14ac:dyDescent="0.3">
      <c r="A65" s="262"/>
      <c r="B65" s="2067"/>
      <c r="C65" s="2119"/>
      <c r="D65" s="2037"/>
      <c r="E65" s="2037"/>
      <c r="F65" s="2065"/>
      <c r="G65" s="1646" t="str">
        <f>IF('Звіт   4,5,6'!E39=0,"Дані не введено",IF(AND('Звіт 10, 11,12,13,14'!P66="ПРАВДА",'Звіт 10, 11,12,13,14'!P68="ПРАВДА",'Звіт 10, 11,12,13,14'!P71="ПРАВДА"),"ПРАВДА","ПОМИЛКА"))</f>
        <v>ПРАВДА</v>
      </c>
      <c r="H65" s="1646" t="str">
        <f>IF('Звіт   4,5,6'!E39=0,"Дані не введено",IF(AND('Звіт 10, 11,12,13,14'!S66="ПРАВДА",'Звіт 10, 11,12,13,14'!S68="ПРАВДА",'Звіт 10, 11,12,13,14'!S71="ПРАВДА"),"ПРАВДА","ПОМИЛКА"))</f>
        <v>ПРАВДА</v>
      </c>
      <c r="I65" s="1644" t="str">
        <f>IF('Звіт   4,5,6'!E39=0,"Дані не введено",IF(AND('Звіт 10, 11,12,13,14'!Y66="ПРАВДА",'Звіт 10, 11,12,13,14'!Y68="ПРАВДА",'Звіт 10, 11,12,13,14'!Y71="ПРАВДА"),"ПРАВДА","ПОМИЛКА"))</f>
        <v>ПРАВДА</v>
      </c>
      <c r="J65" s="271" t="str">
        <f>IF('Звіт   4,5,6'!E39=0,"Дані не введено",IF(AND(('Звіт   9'!H50+'Звіт   9'!H57)&gt;0,('Звіт 10, 11,12,13,14'!K11+'Звіт 10, 11,12,13,14'!K20)&gt;0),"ПРАВДА",IF(AND(('Звіт   9'!H50+'Звіт   9'!H57)=0,('Звіт 10, 11,12,13,14'!K11+'Звіт 10, 11,12,13,14'!K20)=0),"ПРАВДА","ПОМИЛКА")))</f>
        <v>ПРАВДА</v>
      </c>
      <c r="K65" s="268" t="str">
        <f>IF('Звіт   4,5,6'!E39=0,"Дані не введено",IF(AND(('Звіт   9'!K50+'Звіт   9'!K57)&gt;0,('Звіт 10, 11,12,13,14'!AE11+'Звіт 10, 11,12,13,14'!AE20)&gt;0),"ПРАВДА",IF(AND(('Звіт   9'!K50+'Звіт   9'!K57)=0,('Звіт 10, 11,12,13,14'!AE11+'Звіт 10, 11,12,13,14'!AE20)=0),"ПРАВДА","ПОМИЛКА")))</f>
        <v>ПРАВДА</v>
      </c>
      <c r="L65" s="1548">
        <f>'Звіт   9'!H50+'Звіт   9'!H57</f>
        <v>24708.1</v>
      </c>
      <c r="M65" s="889">
        <f>'Звіт   9'!K50+'Звіт   9'!K57</f>
        <v>24708.1</v>
      </c>
      <c r="N65" s="889">
        <f>('Звіт   9'!H50+'Звіт   9'!H57-'Звіт   9'!K50-'Звіт   9'!K57)</f>
        <v>0</v>
      </c>
      <c r="O65" s="889">
        <f>ROUND(('Звіт 10, 11,12,13,14'!I42/1000),3)</f>
        <v>0</v>
      </c>
      <c r="P65" s="889">
        <f>ROUND(('Звіт 10, 11,12,13,14'!I48/1000),3)</f>
        <v>0</v>
      </c>
      <c r="Q65" s="268" t="str">
        <f>IF('Звіт   4,5,6'!E39=0,"Дані не введено",IF(AND(N65&gt;0,OR(O65&gt;0,P65&gt;0),Q66=0),"ПРАВДА",IF(AND(N65&lt;=0,O65=0,P65=0),"ПРАВДА",IF(AND(N65&gt;0,OR(O65=0,P65=0),Q66=1),"ПРАВДА","ПОМИЛКА"))))</f>
        <v>ПРАВДА</v>
      </c>
      <c r="R65" s="1548">
        <f>ROUND(('Звіт   9'!H50+'Звіт   9'!H57),1)</f>
        <v>24708.1</v>
      </c>
      <c r="S65" s="1648">
        <f>ROUND((('Звіт 10, 11,12,13,14'!K20-'Звіт 10, 11,12,13,14'!K21)/1000),1)</f>
        <v>24482.1</v>
      </c>
      <c r="T65" s="889">
        <f>ROUND(('Звіт   9'!K50+'Звіт   9'!K57),1)</f>
        <v>24708.1</v>
      </c>
      <c r="U65" s="1648">
        <f>ROUND((('Звіт 10, 11,12,13,14'!AE20-'Звіт 10, 11,12,13,14'!AE21)/1000),1)</f>
        <v>24482.1</v>
      </c>
      <c r="V65" s="1499">
        <f>ROUND((R65-S65),1)</f>
        <v>226</v>
      </c>
      <c r="W65" s="1499">
        <f>ROUND((T65-U65),1)</f>
        <v>226</v>
      </c>
      <c r="X65" s="268" t="str">
        <f>IF('Звіт   4,5,6'!E39=0,"Дані не введено",IF(AND(R66="ПРАВДА",T66="ПРАВДА",X66=0,V65&gt;=0,W65&gt;=0),"ПРАВДА",IF(AND(X66=1),"ПРАВДА","ПОМИЛКА")))</f>
        <v>ПРАВДА</v>
      </c>
      <c r="Y65" s="1449">
        <f>'Звіт 10, 11,12,13,14'!G10+'Звіт 10, 11,12,13,14'!G19</f>
        <v>23681096</v>
      </c>
      <c r="Z65" s="662">
        <f>'Звіт 10, 11,12,13,14'!I10+'Звіт 10, 11,12,13,14'!I19</f>
        <v>244911</v>
      </c>
      <c r="AA65" s="662">
        <f>'Звіт 10, 11,12,13,14'!K10+'Звіт 10, 11,12,13,14'!K19</f>
        <v>24482085</v>
      </c>
      <c r="AB65" s="662">
        <f>'Звіт 10, 11,12,13,14'!L10+'Звіт 10, 11,12,13,14'!L19</f>
        <v>0</v>
      </c>
      <c r="AC65" s="662">
        <f>'Звіт 10, 11,12,13,14'!AC10+'Звіт 10, 11,12,13,14'!AC19</f>
        <v>23659596</v>
      </c>
      <c r="AD65" s="662">
        <f>'Звіт 10, 11,12,13,14'!AD10+'Звіт 10, 11,12,13,14'!AD19</f>
        <v>194849</v>
      </c>
      <c r="AE65" s="662">
        <f>'Звіт 10, 11,12,13,14'!AE10+'Звіт 10, 11,12,13,14'!AE19</f>
        <v>24482085</v>
      </c>
      <c r="AF65" s="674">
        <f>'Звіт 10, 11,12,13,14'!AF10+'Звіт 10, 11,12,13,14'!AF19</f>
        <v>26630</v>
      </c>
      <c r="AG65" s="1658"/>
      <c r="AH65" s="1658"/>
      <c r="AI65" s="1658"/>
      <c r="AJ65" s="1658"/>
      <c r="AK65" s="1658"/>
      <c r="AL65" s="1658"/>
      <c r="AM65" s="1658"/>
      <c r="AN65" s="1658"/>
      <c r="AO65" s="1658"/>
      <c r="AP65" s="1658"/>
      <c r="AQ65" s="1658"/>
      <c r="AR65" s="1658"/>
      <c r="AS65" s="1658"/>
      <c r="AT65" s="1658"/>
      <c r="AU65" s="1658"/>
      <c r="AV65" s="1658"/>
      <c r="AW65" s="1658"/>
      <c r="AX65" s="1658"/>
      <c r="AY65" s="1658"/>
      <c r="AZ65" s="1658"/>
      <c r="BA65" s="1658"/>
      <c r="BB65" s="1658"/>
    </row>
    <row r="66" spans="1:54" ht="25.5" customHeight="1" thickBot="1" x14ac:dyDescent="0.3">
      <c r="A66" s="262"/>
      <c r="B66" s="1721"/>
      <c r="C66" s="1821"/>
      <c r="D66" s="1722"/>
      <c r="E66" s="1722"/>
      <c r="F66" s="1651"/>
      <c r="G66" s="1501"/>
      <c r="H66" s="1870" t="str">
        <f>IF(AND((G69-I69)&lt;=1,(G69-I69)&gt;=-1,(H69-J69)&lt;=1,(H69-J69)&gt;=-1,(K69-L69)&lt;=1,(K69-L69)&gt;=-1,(M69-N69)&lt;=1,(M69-N69)&gt;=-1,O69=0),"ПРАВДА","ПОМИЛКА")</f>
        <v>ПРАВДА</v>
      </c>
      <c r="I66" s="1870" t="str">
        <f>IF(AND((G72-(I72+'Звіт 10, 11,12,13,14'!F69/1000))&lt;=1,(G72-(I72+'Звіт 10, 11,12,13,14'!F69/1000))&gt;=-1,(H72-(J72+'Звіт 10, 11,12,13,14'!K69/1000))&lt;=1,(H72-(J72+'Звіт 10, 11,12,13,14'!K69/1000))&gt;=-1,(K72-L72)&lt;=1,(K72-L72)&gt;=-1,(M72-N72)&lt;=1,(M72-N72)&gt;=-1,T72=0),"ПРАВДА","ПОМИЛКА")</f>
        <v>ПРАВДА</v>
      </c>
      <c r="J66" s="1673"/>
      <c r="K66" s="1871"/>
      <c r="L66" s="1658"/>
      <c r="M66" s="1658"/>
      <c r="N66" s="1872"/>
      <c r="O66" s="1803"/>
      <c r="P66" s="1803"/>
      <c r="Q66" s="1873"/>
      <c r="R66" s="2148" t="str">
        <f>IF('Звіт   4,5,6'!E39=0,"Дані не введено",IF(AND(R65=0,S65=0),"ПРАВДА",IF((AND(R65&gt;0,R65&gt;=S65,S65&gt;0,X66)),"ПРАВДА","ПОМИЛКА")))</f>
        <v>ПРАВДА</v>
      </c>
      <c r="S66" s="2175"/>
      <c r="T66" s="2148" t="str">
        <f>IF('Звіт   4,5,6'!E39=0,"Дані не введено",IF(AND(T65=0,U65=0),"ПРАВДА",IF((AND(T65&gt;0,T65&gt;=U65,U65&gt;0,X66=0)),"ПРАВДА","ПОМИЛКА")))</f>
        <v>ПРАВДА</v>
      </c>
      <c r="U66" s="2174"/>
      <c r="V66" s="1651"/>
      <c r="W66" s="1651"/>
      <c r="X66" s="1873"/>
      <c r="Y66" s="1659"/>
      <c r="Z66" s="1659"/>
      <c r="AA66" s="1659"/>
      <c r="AB66" s="1659"/>
      <c r="AC66" s="1659"/>
      <c r="AD66" s="1659"/>
      <c r="AE66" s="1659"/>
      <c r="AF66" s="1658"/>
      <c r="AG66" s="1658"/>
      <c r="AH66" s="1658"/>
      <c r="AI66" s="1658"/>
      <c r="AJ66" s="1658"/>
      <c r="AK66" s="1658"/>
      <c r="AL66" s="1658"/>
      <c r="AM66" s="1658"/>
      <c r="AN66" s="1658"/>
      <c r="AO66" s="1658"/>
      <c r="AP66" s="1658"/>
      <c r="AQ66" s="1658"/>
      <c r="AR66" s="1658"/>
      <c r="AS66" s="1658"/>
      <c r="AT66" s="1658"/>
      <c r="AU66" s="1658"/>
      <c r="AV66" s="1658"/>
      <c r="AW66" s="1658"/>
      <c r="AX66" s="1658"/>
      <c r="AY66" s="1658"/>
      <c r="AZ66" s="1658"/>
      <c r="BA66" s="1658"/>
      <c r="BB66" s="1658"/>
    </row>
    <row r="67" spans="1:54" ht="38.25" thickBot="1" x14ac:dyDescent="0.35">
      <c r="A67" s="262"/>
      <c r="B67" s="2120" t="s">
        <v>632</v>
      </c>
      <c r="C67" s="2120"/>
      <c r="D67" s="2120"/>
      <c r="E67" s="1701"/>
      <c r="F67" s="1858"/>
      <c r="G67" s="2006" t="s">
        <v>555</v>
      </c>
      <c r="H67" s="2007"/>
      <c r="I67" s="2007"/>
      <c r="J67" s="2007"/>
      <c r="K67" s="2153" t="s">
        <v>580</v>
      </c>
      <c r="L67" s="2153"/>
      <c r="M67" s="2153" t="s">
        <v>577</v>
      </c>
      <c r="N67" s="2153"/>
      <c r="O67" s="1686" t="s">
        <v>561</v>
      </c>
      <c r="P67" s="1874" t="s">
        <v>769</v>
      </c>
      <c r="Q67" s="1659"/>
      <c r="R67" s="1659"/>
      <c r="S67" s="1658"/>
      <c r="T67" s="1659"/>
      <c r="U67" s="1659"/>
      <c r="V67" s="1659"/>
      <c r="W67" s="1659"/>
      <c r="X67" s="1659"/>
      <c r="Y67" s="1659"/>
      <c r="Z67" s="1659"/>
      <c r="AA67" s="1659"/>
      <c r="AB67" s="1659"/>
      <c r="AC67" s="1659"/>
      <c r="AD67" s="1658"/>
      <c r="AE67" s="1658"/>
      <c r="AF67" s="1658"/>
      <c r="AG67" s="1658"/>
      <c r="AH67" s="1658"/>
      <c r="AI67" s="1658"/>
      <c r="AJ67" s="1658"/>
      <c r="AK67" s="1658"/>
      <c r="AL67" s="1658"/>
      <c r="AM67" s="1658"/>
      <c r="AN67" s="1658"/>
      <c r="AO67" s="1658"/>
      <c r="AP67" s="1658"/>
      <c r="AQ67" s="1658"/>
      <c r="AR67" s="1658"/>
      <c r="AS67" s="1658"/>
      <c r="AT67" s="1658"/>
      <c r="AU67" s="1658"/>
      <c r="AV67" s="1658"/>
      <c r="AW67" s="1658"/>
      <c r="AX67" s="1658"/>
      <c r="AY67" s="1658"/>
      <c r="AZ67" s="1658"/>
      <c r="BA67" s="1658"/>
      <c r="BB67" s="1658"/>
    </row>
    <row r="68" spans="1:54" ht="124.9" customHeight="1" x14ac:dyDescent="0.25">
      <c r="A68" s="262"/>
      <c r="B68" s="2066" t="s">
        <v>416</v>
      </c>
      <c r="C68" s="2114" t="s">
        <v>633</v>
      </c>
      <c r="D68" s="2036" t="s">
        <v>343</v>
      </c>
      <c r="E68" s="2036" t="s">
        <v>349</v>
      </c>
      <c r="F68" s="2039" t="str">
        <f>IF('Звіт   4,5,6'!E39=0,"Дані не введено",IF(OR(P69&lt;0,F28="ПОМИЛКА",F64="ПОМИЛКА",K69&lt;0,M69&lt;-1),"ПОМИЛКА",IF(AND(G69&gt;0,'Звіт   4,5,6'!H23=0),"ПОМИЛКА","ПРАВДА")))</f>
        <v>ПРАВДА</v>
      </c>
      <c r="G68" s="1792" t="s">
        <v>634</v>
      </c>
      <c r="H68" s="1875" t="s">
        <v>635</v>
      </c>
      <c r="I68" s="1875" t="s">
        <v>636</v>
      </c>
      <c r="J68" s="1875" t="s">
        <v>637</v>
      </c>
      <c r="K68" s="1875" t="s">
        <v>759</v>
      </c>
      <c r="L68" s="1875" t="s">
        <v>557</v>
      </c>
      <c r="M68" s="1875" t="s">
        <v>768</v>
      </c>
      <c r="N68" s="1875" t="s">
        <v>558</v>
      </c>
      <c r="O68" s="1875" t="s">
        <v>562</v>
      </c>
      <c r="P68" s="1653" t="s">
        <v>727</v>
      </c>
      <c r="Q68" s="1876"/>
      <c r="R68" s="1876"/>
      <c r="S68" s="1658"/>
      <c r="T68" s="1659"/>
      <c r="U68" s="1659"/>
      <c r="V68" s="1659"/>
      <c r="W68" s="1659"/>
      <c r="X68" s="1659"/>
      <c r="Y68" s="1659"/>
      <c r="Z68" s="1659"/>
      <c r="AA68" s="1659"/>
      <c r="AB68" s="1659"/>
      <c r="AC68" s="1659"/>
      <c r="AD68" s="1658"/>
      <c r="AE68" s="1658"/>
      <c r="AF68" s="1658"/>
      <c r="AG68" s="1658"/>
      <c r="AH68" s="1658"/>
      <c r="AI68" s="1658"/>
      <c r="AJ68" s="1658"/>
      <c r="AK68" s="1658"/>
      <c r="AL68" s="1658"/>
      <c r="AM68" s="1658"/>
      <c r="AN68" s="1658"/>
      <c r="AO68" s="1658"/>
      <c r="AP68" s="1658"/>
      <c r="AQ68" s="1658"/>
      <c r="AR68" s="1658"/>
      <c r="AS68" s="1658"/>
      <c r="AT68" s="1658"/>
      <c r="AU68" s="1658"/>
      <c r="AV68" s="1658"/>
      <c r="AW68" s="1658"/>
      <c r="AX68" s="1658"/>
      <c r="AY68" s="1658"/>
      <c r="AZ68" s="1658"/>
      <c r="BA68" s="1658"/>
      <c r="BB68" s="1658"/>
    </row>
    <row r="69" spans="1:54" ht="19.5" thickBot="1" x14ac:dyDescent="0.3">
      <c r="A69" s="262"/>
      <c r="B69" s="2067"/>
      <c r="C69" s="2115"/>
      <c r="D69" s="2037"/>
      <c r="E69" s="2037"/>
      <c r="F69" s="2040"/>
      <c r="G69" s="1798">
        <f>ROUND('Звіт   9'!H87,1)</f>
        <v>244.9</v>
      </c>
      <c r="H69" s="1742">
        <f>ROUND('Звіт   9'!K87,1)</f>
        <v>194.8</v>
      </c>
      <c r="I69" s="1742">
        <f>ROUND('Звіт 10, 11,12,13,14'!F71/1000,1)</f>
        <v>244.9</v>
      </c>
      <c r="J69" s="1742">
        <f>ROUND('Звіт 10, 11,12,13,14'!K71/1000,1)</f>
        <v>194.8</v>
      </c>
      <c r="K69" s="1742">
        <f>ROUND(('Звіт   4,5,6'!H23+'Звіт 10, 11,12,13,14'!I79)/1000,1)</f>
        <v>95.8</v>
      </c>
      <c r="L69" s="1742">
        <f>ROUND(('Звіт 10, 11,12,13,14'!F99)/1000,1)</f>
        <v>95.8</v>
      </c>
      <c r="M69" s="1742">
        <f>ROUND((H69-G69+K69),1)</f>
        <v>45.7</v>
      </c>
      <c r="N69" s="1742">
        <f>ROUND('Звіт 10, 11,12,13,14'!N99/1000,1)</f>
        <v>45.7</v>
      </c>
      <c r="O69" s="1742">
        <f>ROUND(('Звіт 10, 11,12,13,14'!L99+'Звіт 10, 11,12,13,14'!M99+'Звіт 10, 11,12,13,14'!P99),1)</f>
        <v>0</v>
      </c>
      <c r="P69" s="1845">
        <f>'Звіт 10, 11,12,13,14'!I79/1000</f>
        <v>0</v>
      </c>
      <c r="Q69" s="1838"/>
      <c r="R69" s="1838"/>
      <c r="S69" s="1659"/>
      <c r="T69" s="1659"/>
      <c r="U69" s="1659"/>
      <c r="V69" s="1659"/>
      <c r="W69" s="1659"/>
      <c r="X69" s="1659"/>
      <c r="Y69" s="1659"/>
      <c r="Z69" s="1659"/>
      <c r="AA69" s="1659"/>
      <c r="AB69" s="1659"/>
      <c r="AC69" s="1659"/>
      <c r="AD69" s="1658"/>
      <c r="AE69" s="1658"/>
      <c r="AF69" s="1658"/>
      <c r="AG69" s="1658"/>
      <c r="AH69" s="1658"/>
      <c r="AI69" s="1658"/>
      <c r="AJ69" s="1658"/>
      <c r="AK69" s="1658"/>
      <c r="AL69" s="1658"/>
      <c r="AM69" s="1658"/>
      <c r="AN69" s="1658"/>
      <c r="AO69" s="1658"/>
      <c r="AP69" s="1658"/>
      <c r="AQ69" s="1658"/>
      <c r="AR69" s="1658"/>
      <c r="AS69" s="1658"/>
      <c r="AT69" s="1658"/>
      <c r="AU69" s="1658"/>
      <c r="AV69" s="1658"/>
      <c r="AW69" s="1658"/>
      <c r="AX69" s="1658"/>
      <c r="AY69" s="1658"/>
      <c r="AZ69" s="1658"/>
      <c r="BA69" s="1658"/>
      <c r="BB69" s="1658"/>
    </row>
    <row r="70" spans="1:54" ht="19.5" thickBot="1" x14ac:dyDescent="0.35">
      <c r="A70" s="262"/>
      <c r="B70" s="1788"/>
      <c r="C70" s="1877"/>
      <c r="D70" s="1722"/>
      <c r="E70" s="1722"/>
      <c r="F70" s="1651"/>
      <c r="G70" s="1838"/>
      <c r="H70" s="1838"/>
      <c r="I70" s="1838"/>
      <c r="J70" s="1838"/>
      <c r="K70" s="1838"/>
      <c r="L70" s="1838"/>
      <c r="M70" s="1724"/>
      <c r="N70" s="1724"/>
      <c r="O70" s="1724"/>
      <c r="P70" s="1838"/>
      <c r="Q70" s="1838"/>
      <c r="R70" s="1838"/>
      <c r="S70" s="1682"/>
      <c r="T70" s="1682"/>
      <c r="U70" s="1878"/>
      <c r="V70" s="1682"/>
      <c r="W70" s="1682"/>
      <c r="X70" s="1682"/>
      <c r="Y70" s="1682"/>
      <c r="Z70" s="1682"/>
      <c r="AA70" s="1682"/>
      <c r="AB70" s="1682"/>
      <c r="AC70" s="1682"/>
      <c r="AD70" s="1658"/>
      <c r="AE70" s="1658"/>
      <c r="AF70" s="1658"/>
      <c r="AG70" s="1658"/>
      <c r="AH70" s="1658"/>
      <c r="AI70" s="1658"/>
      <c r="AJ70" s="1658"/>
      <c r="AK70" s="1658"/>
      <c r="AL70" s="1658"/>
      <c r="AM70" s="1658"/>
      <c r="AN70" s="1658"/>
      <c r="AO70" s="1658"/>
      <c r="AP70" s="1658"/>
      <c r="AQ70" s="1658"/>
      <c r="AR70" s="1658"/>
      <c r="AS70" s="1658"/>
      <c r="AT70" s="1658"/>
      <c r="AU70" s="1658"/>
      <c r="AV70" s="1658"/>
      <c r="AW70" s="1658"/>
      <c r="AX70" s="1658"/>
      <c r="AY70" s="1658"/>
      <c r="AZ70" s="1658"/>
      <c r="BA70" s="1658"/>
      <c r="BB70" s="1658"/>
    </row>
    <row r="71" spans="1:54" ht="160.5" customHeight="1" x14ac:dyDescent="0.25">
      <c r="A71" s="262"/>
      <c r="B71" s="2066" t="s">
        <v>417</v>
      </c>
      <c r="C71" s="2116" t="s">
        <v>1570</v>
      </c>
      <c r="D71" s="2036" t="s">
        <v>343</v>
      </c>
      <c r="E71" s="2036" t="s">
        <v>349</v>
      </c>
      <c r="F71" s="2072" t="str">
        <f>IF('Звіт   4,5,6'!E39=0,"Дані не введено",IF(OR(U72&lt;0,F68="ПОМИЛКА",F58="ПОМИЛКА",I66="ПОМИЛКА",F61="ПОМИЛКА",F64="ПОМИЛКА"),"ПОМИЛКА",IF(OR(M72&lt;-1,P72&lt;0,S72&lt;0,K72&lt;0),"ПОМИЛКА",IF(AND(I72&gt;0,'Звіт   4,5,6'!H24=0),"ПОМИЛКА","ПРАВДА"))))</f>
        <v>ПРАВДА</v>
      </c>
      <c r="G71" s="1728" t="s">
        <v>1497</v>
      </c>
      <c r="H71" s="1728" t="s">
        <v>1498</v>
      </c>
      <c r="I71" s="1770" t="s">
        <v>1499</v>
      </c>
      <c r="J71" s="1770" t="s">
        <v>1500</v>
      </c>
      <c r="K71" s="1728" t="s">
        <v>1402</v>
      </c>
      <c r="L71" s="1728" t="s">
        <v>578</v>
      </c>
      <c r="M71" s="1879" t="s">
        <v>761</v>
      </c>
      <c r="N71" s="1728" t="s">
        <v>579</v>
      </c>
      <c r="O71" s="1728" t="s">
        <v>814</v>
      </c>
      <c r="P71" s="1728" t="s">
        <v>1496</v>
      </c>
      <c r="Q71" s="1728" t="s">
        <v>575</v>
      </c>
      <c r="R71" s="1728" t="s">
        <v>638</v>
      </c>
      <c r="S71" s="1728" t="s">
        <v>1571</v>
      </c>
      <c r="T71" s="1759" t="s">
        <v>762</v>
      </c>
      <c r="U71" s="1759" t="s">
        <v>1501</v>
      </c>
      <c r="V71" s="1659"/>
      <c r="W71" s="1659"/>
      <c r="X71" s="1659"/>
      <c r="Y71" s="1659"/>
      <c r="Z71" s="1659"/>
      <c r="AA71" s="1659"/>
      <c r="AB71" s="1659"/>
      <c r="AC71" s="1659"/>
      <c r="AD71" s="1658"/>
      <c r="AE71" s="1658"/>
      <c r="AF71" s="1658"/>
      <c r="AG71" s="1658"/>
      <c r="AH71" s="1658"/>
      <c r="AI71" s="1658"/>
      <c r="AJ71" s="1658"/>
      <c r="AK71" s="1658"/>
      <c r="AL71" s="1658"/>
      <c r="AM71" s="1658"/>
      <c r="AN71" s="1658"/>
      <c r="AO71" s="1658"/>
      <c r="AP71" s="1658"/>
      <c r="AQ71" s="1658"/>
      <c r="AR71" s="1658"/>
      <c r="AS71" s="1658"/>
      <c r="AT71" s="1658"/>
      <c r="AU71" s="1658"/>
      <c r="AV71" s="1658"/>
      <c r="AW71" s="1658"/>
      <c r="AX71" s="1658"/>
      <c r="AY71" s="1658"/>
      <c r="AZ71" s="1658"/>
      <c r="BA71" s="1658"/>
      <c r="BB71" s="1658"/>
    </row>
    <row r="72" spans="1:54" ht="40.5" customHeight="1" thickBot="1" x14ac:dyDescent="0.3">
      <c r="A72" s="262"/>
      <c r="B72" s="2067"/>
      <c r="C72" s="2117"/>
      <c r="D72" s="2037"/>
      <c r="E72" s="2037"/>
      <c r="F72" s="2065"/>
      <c r="G72" s="1742">
        <f>ROUND('Звіт   9'!H53,1)</f>
        <v>23681.1</v>
      </c>
      <c r="H72" s="1742">
        <f>ROUND('Звіт   9'!K53,1)</f>
        <v>23659.599999999999</v>
      </c>
      <c r="I72" s="1733">
        <f>ROUND(('Звіт 10, 11,12,13,14'!F68-'Звіт 10, 11,12,13,14'!F69)/1000,1)</f>
        <v>23681.1</v>
      </c>
      <c r="J72" s="1733">
        <f>ROUND(('Звіт 10, 11,12,13,14'!K68-'Звіт 10, 11,12,13,14'!K69)/1000,1)</f>
        <v>23659.599999999999</v>
      </c>
      <c r="K72" s="1742">
        <f>ROUND(('Звіт   4,5,6'!H24+'Звіт 10, 11,12,13,14'!I80)/1000,1)</f>
        <v>21.5</v>
      </c>
      <c r="L72" s="1742">
        <f>ROUND('Звіт 10, 11,12,13,14'!F96/1000,1)</f>
        <v>21.5</v>
      </c>
      <c r="M72" s="661">
        <f>ROUND((H72+K72-G72-'Звіт 10, 11,12,13,14'!J53/1000),1)</f>
        <v>0</v>
      </c>
      <c r="N72" s="662">
        <f>ROUND('Звіт 10, 11,12,13,14'!N96/1000,1)</f>
        <v>0</v>
      </c>
      <c r="O72" s="662">
        <f>ROUND(('Звіт 1,2,3'!I19+'Звіт 1,2,3'!J19+'Звіт 1,2,3'!K19+'Звіт 1,2,3'!L19+'Звіт 1,2,3'!M19+'Звіт 1,2,3'!N19)/1000,1)</f>
        <v>12799.1</v>
      </c>
      <c r="P72" s="662">
        <f>ROUND((O72-M72+('Звіт 1,2,3'!P19-'Звіт 1,2,3'!Q19)/1000),1)</f>
        <v>12799.1</v>
      </c>
      <c r="Q72" s="1742">
        <f>ROUND('Звіт   9'!H65,1)</f>
        <v>27137.3</v>
      </c>
      <c r="R72" s="1742">
        <f>ROUND('Звіт   9'!K65,1)</f>
        <v>31241.7</v>
      </c>
      <c r="S72" s="662">
        <f>ROUND((Q72-R72+P72),1)</f>
        <v>8694.7000000000007</v>
      </c>
      <c r="T72" s="674">
        <f>('Звіт 10, 11,12,13,14'!L96+'Звіт 10, 11,12,13,14'!M96+'Звіт 10, 11,12,13,14'!P96)/1000</f>
        <v>0</v>
      </c>
      <c r="U72" s="1880">
        <f>ROUND(('Звіт 10, 11,12,13,14'!I80/1000),1)</f>
        <v>0</v>
      </c>
      <c r="V72" s="1659"/>
      <c r="W72" s="1659"/>
      <c r="X72" s="1659"/>
      <c r="Y72" s="1659"/>
      <c r="Z72" s="1659"/>
      <c r="AA72" s="1659"/>
      <c r="AB72" s="1659"/>
      <c r="AC72" s="1659"/>
      <c r="AD72" s="1658"/>
      <c r="AE72" s="1658"/>
      <c r="AF72" s="1658"/>
      <c r="AG72" s="1658"/>
      <c r="AH72" s="1658"/>
      <c r="AI72" s="1658"/>
      <c r="AJ72" s="1658"/>
      <c r="AK72" s="1658"/>
      <c r="AL72" s="1658"/>
      <c r="AM72" s="1658"/>
      <c r="AN72" s="1658"/>
      <c r="AO72" s="1658"/>
      <c r="AP72" s="1658"/>
      <c r="AQ72" s="1658"/>
      <c r="AR72" s="1658"/>
      <c r="AS72" s="1658"/>
      <c r="AT72" s="1658"/>
      <c r="AU72" s="1658"/>
      <c r="AV72" s="1658"/>
      <c r="AW72" s="1658"/>
      <c r="AX72" s="1658"/>
      <c r="AY72" s="1658"/>
      <c r="AZ72" s="1658"/>
      <c r="BA72" s="1658"/>
      <c r="BB72" s="1658"/>
    </row>
    <row r="73" spans="1:54" ht="159" customHeight="1" x14ac:dyDescent="0.25">
      <c r="A73" s="262"/>
      <c r="B73" s="2066" t="s">
        <v>418</v>
      </c>
      <c r="C73" s="2110" t="s">
        <v>1642</v>
      </c>
      <c r="D73" s="2036" t="s">
        <v>343</v>
      </c>
      <c r="E73" s="2036" t="s">
        <v>349</v>
      </c>
      <c r="F73" s="2072" t="str">
        <f>IF('Звіт   4,5,6'!E39=0,"Дані не введено",IF(OR(H74&lt;0,G74&lt;0,L74&lt;0,I74&gt;1,I74&lt;-1,K74&gt;1,K74&lt;-1),"ПОМИЛКА",IF(OR(F71="ПОМИЛКА",F68="ПОМИЛКА"),"ПОМИЛКА","ПРАВДА")))</f>
        <v>ПРАВДА</v>
      </c>
      <c r="G73" s="1770" t="s">
        <v>592</v>
      </c>
      <c r="H73" s="1770" t="s">
        <v>1643</v>
      </c>
      <c r="I73" s="1708" t="s">
        <v>639</v>
      </c>
      <c r="J73" s="1728" t="s">
        <v>550</v>
      </c>
      <c r="K73" s="1708" t="s">
        <v>640</v>
      </c>
      <c r="L73" s="1652" t="s">
        <v>760</v>
      </c>
      <c r="M73" s="1881"/>
      <c r="N73" s="1881"/>
      <c r="O73" s="1881"/>
      <c r="P73" s="1881"/>
      <c r="Q73" s="1881"/>
      <c r="R73" s="1881"/>
      <c r="S73" s="1838"/>
      <c r="T73" s="1838"/>
      <c r="U73" s="1727"/>
      <c r="V73" s="1727">
        <v>0</v>
      </c>
      <c r="W73" s="1727"/>
      <c r="X73" s="1727"/>
      <c r="Y73" s="1727"/>
      <c r="Z73" s="1659"/>
      <c r="AA73" s="1659"/>
      <c r="AB73" s="1659"/>
      <c r="AC73" s="1659"/>
      <c r="AD73" s="1658"/>
      <c r="AE73" s="1658"/>
      <c r="AF73" s="1658"/>
      <c r="AG73" s="1658"/>
      <c r="AH73" s="1658"/>
      <c r="AI73" s="1658"/>
      <c r="AJ73" s="1658"/>
      <c r="AK73" s="1658"/>
      <c r="AL73" s="1658"/>
      <c r="AM73" s="1658"/>
      <c r="AN73" s="1658"/>
      <c r="AO73" s="1658"/>
      <c r="AP73" s="1658"/>
      <c r="AQ73" s="1658"/>
      <c r="AR73" s="1658"/>
      <c r="AS73" s="1658"/>
      <c r="AT73" s="1658"/>
      <c r="AU73" s="1658"/>
      <c r="AV73" s="1658"/>
      <c r="AW73" s="1658"/>
      <c r="AX73" s="1658"/>
      <c r="AY73" s="1658"/>
      <c r="AZ73" s="1658"/>
      <c r="BA73" s="1658"/>
      <c r="BB73" s="1658"/>
    </row>
    <row r="74" spans="1:54" ht="33" customHeight="1" thickBot="1" x14ac:dyDescent="0.3">
      <c r="A74" s="262"/>
      <c r="B74" s="2067"/>
      <c r="C74" s="2111"/>
      <c r="D74" s="2037"/>
      <c r="E74" s="2037"/>
      <c r="F74" s="2065"/>
      <c r="G74" s="1742">
        <f>ROUND('Звіт   4,5,6'!H16/1000,1)</f>
        <v>8649</v>
      </c>
      <c r="H74" s="887">
        <f>S72-M69-ROUND((('Звіт 10, 11,12,13,14'!I76+'Звіт 10, 11,12,13,14'!I77+'Звіт 1,2,3'!S19)/1000),1)</f>
        <v>8649</v>
      </c>
      <c r="I74" s="2001">
        <f>ROUND((G74-H74),1)</f>
        <v>0</v>
      </c>
      <c r="J74" s="662">
        <f>ROUND('Звіт   4,5,6'!O38/1000,1)</f>
        <v>8649</v>
      </c>
      <c r="K74" s="661">
        <f>ROUND((G74-J74),1)</f>
        <v>0</v>
      </c>
      <c r="L74" s="674">
        <f>ROUND(('Звіт 10, 11,12,13,14'!I76/1000),1)</f>
        <v>0</v>
      </c>
      <c r="M74" s="1882"/>
      <c r="N74" s="344"/>
      <c r="O74" s="1883"/>
      <c r="P74" s="1883"/>
      <c r="Q74" s="1883"/>
      <c r="R74" s="1883"/>
      <c r="S74" s="1883"/>
      <c r="T74" s="1883"/>
      <c r="U74" s="1727"/>
      <c r="V74" s="1727"/>
      <c r="W74" s="1727"/>
      <c r="X74" s="1727"/>
      <c r="Y74" s="1727"/>
      <c r="Z74" s="1659"/>
      <c r="AA74" s="1659"/>
      <c r="AB74" s="1659"/>
      <c r="AC74" s="1659"/>
      <c r="AD74" s="1658"/>
      <c r="AE74" s="1658"/>
      <c r="AF74" s="1658"/>
      <c r="AG74" s="1658"/>
      <c r="AH74" s="1658"/>
      <c r="AI74" s="1658"/>
      <c r="AJ74" s="1658"/>
      <c r="AK74" s="1658"/>
      <c r="AL74" s="1658"/>
      <c r="AM74" s="1658"/>
      <c r="AN74" s="1658"/>
      <c r="AO74" s="1658"/>
      <c r="AP74" s="1658"/>
      <c r="AQ74" s="1658"/>
      <c r="AR74" s="1658"/>
      <c r="AS74" s="1658"/>
      <c r="AT74" s="1658"/>
      <c r="AU74" s="1658"/>
      <c r="AV74" s="1658"/>
      <c r="AW74" s="1658"/>
      <c r="AX74" s="1658"/>
      <c r="AY74" s="1658"/>
      <c r="AZ74" s="1658"/>
      <c r="BA74" s="1658"/>
      <c r="BB74" s="1658"/>
    </row>
    <row r="75" spans="1:54" ht="19.5" thickBot="1" x14ac:dyDescent="0.3">
      <c r="A75" s="262"/>
      <c r="B75" s="1721"/>
      <c r="C75" s="383"/>
      <c r="D75" s="1722"/>
      <c r="E75" s="1722"/>
      <c r="F75" s="1651"/>
      <c r="G75" s="2044" t="s">
        <v>1517</v>
      </c>
      <c r="H75" s="2045"/>
      <c r="I75" s="2045"/>
      <c r="J75" s="2045"/>
      <c r="K75" s="2045"/>
      <c r="L75" s="2045"/>
      <c r="M75" s="2011"/>
      <c r="N75" s="2011"/>
      <c r="O75" s="2011"/>
      <c r="P75" s="2011"/>
      <c r="Q75" s="2011"/>
      <c r="R75" s="2011"/>
      <c r="S75" s="2019" t="s">
        <v>1720</v>
      </c>
      <c r="T75" s="2020"/>
      <c r="U75" s="2021"/>
      <c r="V75" s="1884"/>
      <c r="W75" s="1726"/>
      <c r="X75" s="1726"/>
      <c r="Y75" s="1726"/>
      <c r="Z75" s="1726"/>
      <c r="AA75" s="1726"/>
      <c r="AB75" s="1726"/>
      <c r="AC75" s="1726"/>
      <c r="AD75" s="1658"/>
      <c r="AE75" s="1658"/>
      <c r="AF75" s="1658"/>
      <c r="AG75" s="1658"/>
      <c r="AH75" s="1658"/>
      <c r="AI75" s="1658"/>
      <c r="AJ75" s="1658"/>
      <c r="AK75" s="1658"/>
      <c r="AL75" s="1658"/>
      <c r="AM75" s="1658"/>
      <c r="AN75" s="1658"/>
      <c r="AO75" s="1658"/>
      <c r="AP75" s="1658"/>
      <c r="AQ75" s="1658"/>
      <c r="AR75" s="1658"/>
      <c r="AS75" s="1658"/>
      <c r="AT75" s="1658"/>
      <c r="AU75" s="1658"/>
      <c r="AV75" s="1658"/>
      <c r="AW75" s="1658"/>
      <c r="AX75" s="1658"/>
      <c r="AY75" s="1658"/>
      <c r="AZ75" s="1658"/>
      <c r="BA75" s="1658"/>
      <c r="BB75" s="1658"/>
    </row>
    <row r="76" spans="1:54" ht="127.9" customHeight="1" x14ac:dyDescent="0.25">
      <c r="A76" s="262"/>
      <c r="B76" s="2066" t="s">
        <v>419</v>
      </c>
      <c r="C76" s="2093" t="s">
        <v>641</v>
      </c>
      <c r="D76" s="2036" t="s">
        <v>343</v>
      </c>
      <c r="E76" s="2007" t="s">
        <v>349</v>
      </c>
      <c r="F76" s="2072" t="str">
        <f>IF('Звіт   4,5,6'!E39=0,"Дані не введено",IF(AND(R77="ПРАВДА",F73="ПРАВДА"),IF(AND(I77&lt;=1,I77&gt;=-1,L77&lt;=1,L77&gt;=-1,Q77&lt;=1,Q77&gt;=-1,S77&gt;=0,T77&gt;=0,U77&gt;=0),"ПРАВДА","ПОМИЛКА"),"ПОМИЛКА"))</f>
        <v>ПРАВДА</v>
      </c>
      <c r="G76" s="1885" t="s">
        <v>770</v>
      </c>
      <c r="H76" s="1728" t="s">
        <v>642</v>
      </c>
      <c r="I76" s="1708" t="s">
        <v>535</v>
      </c>
      <c r="J76" s="1728" t="s">
        <v>771</v>
      </c>
      <c r="K76" s="1728" t="s">
        <v>863</v>
      </c>
      <c r="L76" s="1886" t="s">
        <v>535</v>
      </c>
      <c r="M76" s="1685" t="s">
        <v>643</v>
      </c>
      <c r="N76" s="1728" t="s">
        <v>551</v>
      </c>
      <c r="O76" s="1728" t="s">
        <v>874</v>
      </c>
      <c r="P76" s="1728" t="s">
        <v>783</v>
      </c>
      <c r="Q76" s="1708" t="s">
        <v>865</v>
      </c>
      <c r="R76" s="1887" t="s">
        <v>864</v>
      </c>
      <c r="S76" s="1888" t="str">
        <f>'Звіт 10, 11,12,13,14'!AD8</f>
        <v>Отримані як цільове фінансування</v>
      </c>
      <c r="T76" s="1692" t="str">
        <f>'Звіт 10, 11,12,13,14'!AE8</f>
        <v>Отримано як статутний капітал</v>
      </c>
      <c r="U76" s="1889" t="str">
        <f>'Звіт 10, 11,12,13,14'!AF8</f>
        <v>Інше (ПМГ та власні кошти)</v>
      </c>
      <c r="V76" s="1659"/>
      <c r="W76" s="1659"/>
      <c r="X76" s="1658"/>
      <c r="Y76" s="1658"/>
      <c r="Z76" s="1658"/>
      <c r="AA76" s="1658"/>
      <c r="AB76" s="1658"/>
      <c r="AC76" s="1658"/>
      <c r="AD76" s="1658"/>
      <c r="AE76" s="1658"/>
      <c r="AF76" s="1658"/>
      <c r="AG76" s="1658"/>
      <c r="AH76" s="1658"/>
      <c r="AI76" s="1658"/>
      <c r="AJ76" s="1658"/>
      <c r="AK76" s="1658"/>
      <c r="AL76" s="1658"/>
      <c r="AM76" s="1658"/>
      <c r="AN76" s="1658"/>
      <c r="AO76" s="1658"/>
      <c r="AP76" s="1658"/>
      <c r="AQ76" s="1658"/>
      <c r="AR76" s="1658"/>
      <c r="AS76" s="1658"/>
      <c r="AT76" s="1658"/>
      <c r="AU76" s="1658"/>
      <c r="AV76" s="1658"/>
      <c r="AW76" s="1658"/>
      <c r="AX76" s="1658"/>
      <c r="AY76" s="1658"/>
      <c r="AZ76" s="1658"/>
      <c r="BA76" s="1658"/>
      <c r="BB76" s="1658"/>
    </row>
    <row r="77" spans="1:54" ht="26.25" customHeight="1" thickBot="1" x14ac:dyDescent="0.4">
      <c r="A77" s="262"/>
      <c r="B77" s="2067"/>
      <c r="C77" s="2094"/>
      <c r="D77" s="2037"/>
      <c r="E77" s="2038"/>
      <c r="F77" s="2065"/>
      <c r="G77" s="1749">
        <f>ROUND(('Звіт   9'!H66),1)</f>
        <v>27030.7</v>
      </c>
      <c r="H77" s="1749">
        <f>ROUND(('Звіт 10, 11,12,13,14'!I26/1000),1)</f>
        <v>27030.7</v>
      </c>
      <c r="I77" s="270">
        <f>ROUND((G77-H77),1)</f>
        <v>0</v>
      </c>
      <c r="J77" s="1315">
        <f>ROUND(('Звіт   9'!K66),1)</f>
        <v>30445.1</v>
      </c>
      <c r="K77" s="1749">
        <f>ROUND(('Звіт 10, 11,12,13,14'!AD27/1000),1)</f>
        <v>30445.1</v>
      </c>
      <c r="L77" s="345">
        <f>ROUND((J77-K77),1)</f>
        <v>0</v>
      </c>
      <c r="M77" s="1749">
        <f>ROUND(('Звіт 1,2,3'!I29+'Звіт 1,2,3'!J29+'Звіт 1,2,3'!K29+'Звіт 1,2,3'!L29+'Звіт 1,2,3'!M29+'Звіт 1,2,3'!N29)/1000,1)</f>
        <v>9607.1</v>
      </c>
      <c r="N77" s="1749">
        <f>ROUND(('Звіт   4,5,6'!O43+'Звіт   4,5,6'!O52+'Звіт   4,5,6'!O51+'Звіт   4,5,6'!O53+'Звіт   4,5,6'!O54+'Звіт   4,5,6'!O56+'Звіт   4,5,6'!O57+'Звіт   4,5,6'!O50+'Звіт   4,5,6'!O65)/1000,1)</f>
        <v>6192.7</v>
      </c>
      <c r="O77" s="852">
        <f>ROUND((('Звіт 10, 11,12,13,14'!I76+'Звіт 10, 11,12,13,14'!V28)/1000),1)</f>
        <v>0</v>
      </c>
      <c r="P77" s="1749">
        <f>ROUND((G77+M77-N77-O77),1)</f>
        <v>30445.1</v>
      </c>
      <c r="Q77" s="270">
        <f>ROUND((P77-'Звіт 10, 11,12,13,14'!AD33),1)</f>
        <v>0</v>
      </c>
      <c r="R77" s="1644" t="str">
        <f>'Звіт 10, 11,12,13,14'!AE32</f>
        <v>ПРАВДА</v>
      </c>
      <c r="S77" s="1890">
        <f>'Звіт 10, 11,12,13,14'!AD26</f>
        <v>30445085</v>
      </c>
      <c r="T77" s="1891">
        <f>'Звіт 10, 11,12,13,14'!AE26</f>
        <v>0</v>
      </c>
      <c r="U77" s="1892">
        <f>'Звіт 10, 11,12,13,14'!AF26</f>
        <v>1020436</v>
      </c>
      <c r="V77" s="1659"/>
      <c r="W77" s="1659"/>
      <c r="X77" s="1658"/>
      <c r="Y77" s="1658"/>
      <c r="Z77" s="1658"/>
      <c r="AA77" s="1658"/>
      <c r="AB77" s="1658"/>
      <c r="AC77" s="1658"/>
      <c r="AD77" s="1658"/>
      <c r="AE77" s="1658"/>
      <c r="AF77" s="1658"/>
      <c r="AG77" s="1658"/>
      <c r="AH77" s="1658"/>
      <c r="AI77" s="1658"/>
      <c r="AJ77" s="1658"/>
      <c r="AK77" s="1658"/>
      <c r="AL77" s="1658"/>
      <c r="AM77" s="1658"/>
      <c r="AN77" s="1658"/>
      <c r="AO77" s="1658"/>
      <c r="AP77" s="1658"/>
      <c r="AQ77" s="1658"/>
      <c r="AR77" s="1658"/>
      <c r="AS77" s="1658"/>
      <c r="AT77" s="1658"/>
      <c r="AU77" s="1658"/>
      <c r="AV77" s="1658"/>
      <c r="AW77" s="1658"/>
      <c r="AX77" s="1658"/>
      <c r="AY77" s="1658"/>
      <c r="AZ77" s="1658"/>
      <c r="BA77" s="1658"/>
      <c r="BB77" s="1658"/>
    </row>
    <row r="78" spans="1:54" ht="31.5" customHeight="1" thickBot="1" x14ac:dyDescent="0.3">
      <c r="A78" s="262"/>
      <c r="B78" s="2113" t="s">
        <v>427</v>
      </c>
      <c r="C78" s="2113"/>
      <c r="D78" s="1856"/>
      <c r="E78" s="1856"/>
      <c r="F78" s="1893"/>
      <c r="G78" s="1894" t="str">
        <f>IF(AND(J81&gt;0,K81&gt;0,K81&gt;=J81/I78,K81&lt;=J81),"ПРАВДА","ПОМИЛКА")</f>
        <v>ПРАВДА</v>
      </c>
      <c r="H78" s="1894" t="str">
        <f>IF(AND(J86&gt;0,K86&gt;0,K86&gt;=J86/4,K86&lt;=J86),"ПРАВДА","ПОМИЛКА")</f>
        <v>ПРАВДА</v>
      </c>
      <c r="I78" s="1895">
        <f>100/45</f>
        <v>2.2222222222222223</v>
      </c>
      <c r="J78" s="1872"/>
      <c r="K78" s="1872"/>
      <c r="L78" s="1896"/>
      <c r="M78" s="1897"/>
      <c r="N78" s="1897"/>
      <c r="O78" s="1897"/>
      <c r="P78" s="1897"/>
      <c r="Q78" s="1897"/>
      <c r="R78" s="322"/>
      <c r="S78" s="1898"/>
      <c r="T78" s="1726"/>
      <c r="U78" s="1726"/>
      <c r="V78" s="1726"/>
      <c r="W78" s="1659"/>
      <c r="X78" s="1659"/>
      <c r="Y78" s="1659"/>
      <c r="Z78" s="1659"/>
      <c r="AA78" s="1659"/>
      <c r="AB78" s="1659"/>
      <c r="AC78" s="1659"/>
      <c r="AD78" s="1658"/>
      <c r="AE78" s="1658"/>
      <c r="AF78" s="1658"/>
      <c r="AG78" s="1658"/>
      <c r="AH78" s="1658"/>
      <c r="AI78" s="1658"/>
      <c r="AJ78" s="1658"/>
      <c r="AK78" s="1658"/>
      <c r="AL78" s="1658"/>
      <c r="AM78" s="1658"/>
      <c r="AN78" s="1658"/>
      <c r="AO78" s="1658"/>
      <c r="AP78" s="1658"/>
      <c r="AQ78" s="1658"/>
      <c r="AR78" s="1658"/>
      <c r="AS78" s="1658"/>
      <c r="AT78" s="1658"/>
      <c r="AU78" s="1658"/>
      <c r="AV78" s="1658"/>
      <c r="AW78" s="1658"/>
      <c r="AX78" s="1658"/>
      <c r="AY78" s="1658"/>
      <c r="AZ78" s="1658"/>
      <c r="BA78" s="1658"/>
      <c r="BB78" s="1658"/>
    </row>
    <row r="79" spans="1:54" ht="31.5" customHeight="1" thickBot="1" x14ac:dyDescent="0.3">
      <c r="A79" s="262"/>
      <c r="B79" s="1899"/>
      <c r="C79" s="1899"/>
      <c r="D79" s="1846"/>
      <c r="E79" s="1846"/>
      <c r="F79" s="1899"/>
      <c r="G79" s="2017" t="s">
        <v>532</v>
      </c>
      <c r="H79" s="2112"/>
      <c r="I79" s="2112"/>
      <c r="J79" s="2112" t="s">
        <v>533</v>
      </c>
      <c r="K79" s="2112"/>
      <c r="L79" s="2150"/>
      <c r="M79" s="1872"/>
      <c r="N79" s="1872"/>
      <c r="O79" s="1872"/>
      <c r="P79" s="1900"/>
      <c r="Q79" s="1900"/>
      <c r="R79" s="1901"/>
      <c r="S79" s="1659"/>
      <c r="T79" s="1659"/>
      <c r="U79" s="1659"/>
      <c r="V79" s="1659"/>
      <c r="W79" s="1659"/>
      <c r="X79" s="1659"/>
      <c r="Y79" s="1659"/>
      <c r="Z79" s="1659"/>
      <c r="AA79" s="1659"/>
      <c r="AB79" s="1659"/>
      <c r="AC79" s="1659"/>
      <c r="AD79" s="1658"/>
      <c r="AE79" s="1658"/>
      <c r="AF79" s="1658"/>
      <c r="AG79" s="1658"/>
      <c r="AH79" s="1658"/>
      <c r="AI79" s="1658"/>
      <c r="AJ79" s="1658"/>
      <c r="AK79" s="1658"/>
      <c r="AL79" s="1658"/>
      <c r="AM79" s="1658"/>
      <c r="AN79" s="1658"/>
      <c r="AO79" s="1658"/>
      <c r="AP79" s="1658"/>
      <c r="AQ79" s="1658"/>
      <c r="AR79" s="1658"/>
      <c r="AS79" s="1658"/>
      <c r="AT79" s="1658"/>
      <c r="AU79" s="1658"/>
      <c r="AV79" s="1658"/>
      <c r="AW79" s="1658"/>
      <c r="AX79" s="1658"/>
      <c r="AY79" s="1658"/>
      <c r="AZ79" s="1658"/>
      <c r="BA79" s="1658"/>
      <c r="BB79" s="1658"/>
    </row>
    <row r="80" spans="1:54" ht="131.25" customHeight="1" x14ac:dyDescent="0.25">
      <c r="A80" s="262"/>
      <c r="B80" s="2066" t="s">
        <v>425</v>
      </c>
      <c r="C80" s="2093" t="s">
        <v>644</v>
      </c>
      <c r="D80" s="2108" t="s">
        <v>441</v>
      </c>
      <c r="E80" s="2007" t="s">
        <v>351</v>
      </c>
      <c r="F80" s="2039" t="str">
        <f>IF('Звіт   4,5,6'!E39=0,"Дані не введено",IF(G78="ПОМИЛКА","ПОМИЛКА",IF(AND(G81&gt;0,H81&gt;0,H81&gt;=G81/I78,H81&lt;=G81),"ПРАВДА","ПОМИЛКА")))</f>
        <v>ПРАВДА</v>
      </c>
      <c r="G80" s="1792" t="s">
        <v>547</v>
      </c>
      <c r="H80" s="1875" t="s">
        <v>545</v>
      </c>
      <c r="I80" s="1816" t="s">
        <v>534</v>
      </c>
      <c r="J80" s="1875" t="s">
        <v>548</v>
      </c>
      <c r="K80" s="1875" t="s">
        <v>546</v>
      </c>
      <c r="L80" s="1902" t="s">
        <v>534</v>
      </c>
      <c r="M80" s="1673"/>
      <c r="N80" s="1673"/>
      <c r="O80" s="1872"/>
      <c r="P80" s="1659"/>
      <c r="Q80" s="1659"/>
      <c r="R80" s="1659"/>
      <c r="S80" s="1898"/>
      <c r="T80" s="1659"/>
      <c r="U80" s="1659"/>
      <c r="V80" s="1659"/>
      <c r="W80" s="1659"/>
      <c r="X80" s="1659"/>
      <c r="Y80" s="1659"/>
      <c r="Z80" s="1659"/>
      <c r="AA80" s="1659"/>
      <c r="AB80" s="1659"/>
      <c r="AC80" s="1659"/>
      <c r="AD80" s="1658"/>
      <c r="AE80" s="1658"/>
      <c r="AF80" s="1658"/>
      <c r="AG80" s="1658"/>
      <c r="AH80" s="1658"/>
      <c r="AI80" s="1658"/>
      <c r="AJ80" s="1658"/>
      <c r="AK80" s="1658"/>
      <c r="AL80" s="1658"/>
      <c r="AM80" s="1658"/>
      <c r="AN80" s="1658"/>
      <c r="AO80" s="1658"/>
      <c r="AP80" s="1658"/>
      <c r="AQ80" s="1658"/>
      <c r="AR80" s="1658"/>
      <c r="AS80" s="1658"/>
      <c r="AT80" s="1658"/>
      <c r="AU80" s="1658"/>
      <c r="AV80" s="1658"/>
      <c r="AW80" s="1658"/>
      <c r="AX80" s="1658"/>
      <c r="AY80" s="1658"/>
      <c r="AZ80" s="1658"/>
      <c r="BA80" s="1658"/>
      <c r="BB80" s="1658"/>
    </row>
    <row r="81" spans="1:56" ht="29.25" customHeight="1" thickBot="1" x14ac:dyDescent="0.3">
      <c r="A81" s="262"/>
      <c r="B81" s="2067"/>
      <c r="C81" s="2094"/>
      <c r="D81" s="2109"/>
      <c r="E81" s="2038"/>
      <c r="F81" s="2040"/>
      <c r="G81" s="675">
        <f>'Звіт   9'!H10+'Звіт   9'!H14</f>
        <v>48408.1</v>
      </c>
      <c r="H81" s="662">
        <f>'Звіт   9'!H51+'Звіт   9'!H53+'Звіт   9'!H87</f>
        <v>23926</v>
      </c>
      <c r="I81" s="1772">
        <f>H81*100/G81</f>
        <v>49.425612655733239</v>
      </c>
      <c r="J81" s="1742">
        <f>'Звіт   9'!K10+'Звіт   9'!K14</f>
        <v>48363.199999999997</v>
      </c>
      <c r="K81" s="1742">
        <f>'Звіт   9'!K51+'Звіт   9'!K53+'Звіт   9'!K87</f>
        <v>23854.399999999998</v>
      </c>
      <c r="L81" s="1711">
        <f>K81*100/J81</f>
        <v>49.32345254242896</v>
      </c>
      <c r="M81" s="1673"/>
      <c r="N81" s="1673"/>
      <c r="O81" s="1872"/>
      <c r="P81" s="1659"/>
      <c r="Q81" s="1659"/>
      <c r="R81" s="1659"/>
      <c r="S81" s="1659"/>
      <c r="T81" s="1659"/>
      <c r="U81" s="1659"/>
      <c r="V81" s="1659"/>
      <c r="W81" s="1659"/>
      <c r="X81" s="1659"/>
      <c r="Y81" s="1659"/>
      <c r="Z81" s="1659"/>
      <c r="AA81" s="1659"/>
      <c r="AB81" s="1659"/>
      <c r="AC81" s="1659"/>
      <c r="AD81" s="1658"/>
      <c r="AE81" s="1658"/>
      <c r="AF81" s="1658"/>
      <c r="AG81" s="1658"/>
      <c r="AH81" s="1658"/>
      <c r="AI81" s="1658"/>
      <c r="AJ81" s="1658"/>
      <c r="AK81" s="1658"/>
      <c r="AL81" s="1658"/>
      <c r="AM81" s="1658"/>
      <c r="AN81" s="1658"/>
      <c r="AO81" s="1658"/>
      <c r="AP81" s="1658"/>
      <c r="AQ81" s="1658"/>
      <c r="AR81" s="1658"/>
      <c r="AS81" s="1658"/>
      <c r="AT81" s="1658"/>
      <c r="AU81" s="1658"/>
      <c r="AV81" s="1658"/>
      <c r="AW81" s="1658"/>
      <c r="AX81" s="1658"/>
      <c r="AY81" s="1658"/>
      <c r="AZ81" s="1658"/>
      <c r="BA81" s="1658"/>
      <c r="BB81" s="1658"/>
    </row>
    <row r="82" spans="1:56" ht="67.900000000000006" customHeight="1" thickBot="1" x14ac:dyDescent="0.3">
      <c r="A82" s="262"/>
      <c r="B82" s="1903"/>
      <c r="C82" s="1821"/>
      <c r="D82" s="1904"/>
      <c r="E82" s="1722"/>
      <c r="F82" s="1651"/>
      <c r="G82" s="2012" t="s">
        <v>645</v>
      </c>
      <c r="H82" s="2013"/>
      <c r="I82" s="2013"/>
      <c r="J82" s="2013"/>
      <c r="K82" s="2013"/>
      <c r="L82" s="2014"/>
      <c r="M82" s="2015" t="s">
        <v>1650</v>
      </c>
      <c r="N82" s="2016"/>
      <c r="O82" s="2017" t="s">
        <v>1518</v>
      </c>
      <c r="P82" s="2018"/>
      <c r="Q82" s="2019" t="s">
        <v>1718</v>
      </c>
      <c r="R82" s="2020"/>
      <c r="S82" s="2020"/>
      <c r="T82" s="2020"/>
      <c r="U82" s="2020"/>
      <c r="V82" s="2021"/>
      <c r="W82" s="1726"/>
      <c r="X82" s="1726"/>
      <c r="Y82" s="1726"/>
      <c r="Z82" s="1726"/>
      <c r="AA82" s="1726"/>
      <c r="AB82" s="1726"/>
      <c r="AC82" s="1726"/>
      <c r="AD82" s="1658"/>
      <c r="AE82" s="1658"/>
      <c r="AF82" s="1658"/>
      <c r="AG82" s="1658"/>
      <c r="AH82" s="1658"/>
      <c r="AI82" s="1658"/>
      <c r="AJ82" s="1658"/>
      <c r="AK82" s="1658"/>
      <c r="AL82" s="1658"/>
      <c r="AM82" s="1658"/>
      <c r="AN82" s="1658"/>
      <c r="AO82" s="1658"/>
      <c r="AP82" s="1658"/>
      <c r="AQ82" s="1658"/>
      <c r="AR82" s="1658"/>
      <c r="AS82" s="1658"/>
      <c r="AT82" s="1658"/>
      <c r="AU82" s="1658"/>
      <c r="AV82" s="1658"/>
      <c r="AW82" s="1658"/>
      <c r="AX82" s="1658"/>
      <c r="AY82" s="1658"/>
      <c r="AZ82" s="1658"/>
      <c r="BA82" s="1658"/>
      <c r="BB82" s="1658"/>
    </row>
    <row r="83" spans="1:56" ht="138" customHeight="1" x14ac:dyDescent="0.25">
      <c r="A83" s="262"/>
      <c r="B83" s="2066" t="s">
        <v>540</v>
      </c>
      <c r="C83" s="2058" t="s">
        <v>1743</v>
      </c>
      <c r="D83" s="2007" t="s">
        <v>343</v>
      </c>
      <c r="E83" s="2007" t="s">
        <v>349</v>
      </c>
      <c r="F83" s="2039" t="str">
        <f>IF('Звіт   4,5,6'!E39=0,"Дані не введено",IF(OR(M84="ПОМИЛКА",V84="ПОМИЛКА",N84="ПОМИЛКА",O84="ПОМИЛКА",P84="ПОМИЛКА"),"ПОМИЛКА",IF(AND(I84&lt;=1,I84&gt;=-1,L84&lt;=1,L84&gt;=-1),"ПРАВДА","ПОМИЛКА")))</f>
        <v>ПРАВДА</v>
      </c>
      <c r="G83" s="1905" t="s">
        <v>543</v>
      </c>
      <c r="H83" s="1728" t="s">
        <v>647</v>
      </c>
      <c r="I83" s="1886" t="s">
        <v>535</v>
      </c>
      <c r="J83" s="1905" t="s">
        <v>544</v>
      </c>
      <c r="K83" s="1728" t="s">
        <v>648</v>
      </c>
      <c r="L83" s="1705" t="s">
        <v>535</v>
      </c>
      <c r="M83" s="1792" t="str">
        <f>'Звіт 10, 11,12,13,14'!AM11</f>
        <v>Якщо СдП р.1000 Балансу = р. Т 10.1 гр.4  Нематеріальні активи, то ПРАВДА</v>
      </c>
      <c r="N83" s="1906" t="str">
        <f>'Звіт 10, 11,12,13,14'!AN11</f>
        <v>Якщо СдК р.1000 Балансу = р. Т 10.1 гр.19  Нематеріальні активи, то ПРАВДА</v>
      </c>
      <c r="O83" s="1792" t="str">
        <f>'Звіт 10, 11,12,13,14'!AM20</f>
        <v>Якщо СдП р.1010 Балансу = р. Т 10.3 гр.4  Основні засоби, то ПРАВДА</v>
      </c>
      <c r="P83" s="1906" t="str">
        <f>'Звіт 10, 11,12,13,14'!AN20</f>
        <v>Якщо СдК р.1010 Балансу = р. Т 10.3 гр.19  Основні засоби, то ПРАВДА</v>
      </c>
      <c r="Q83" s="1795" t="s">
        <v>1715</v>
      </c>
      <c r="R83" s="1793" t="s">
        <v>1717</v>
      </c>
      <c r="S83" s="1793" t="s">
        <v>1719</v>
      </c>
      <c r="T83" s="1793" t="s">
        <v>1716</v>
      </c>
      <c r="U83" s="1793" t="s">
        <v>1714</v>
      </c>
      <c r="V83" s="1907"/>
      <c r="W83" s="1726"/>
      <c r="X83" s="1726"/>
      <c r="Y83" s="1726"/>
      <c r="Z83" s="1659"/>
      <c r="AA83" s="1659"/>
      <c r="AB83" s="1659"/>
      <c r="AC83" s="1659"/>
      <c r="AD83" s="1658"/>
      <c r="AE83" s="1658"/>
      <c r="AF83" s="1658"/>
      <c r="AG83" s="1658"/>
      <c r="AH83" s="1658"/>
      <c r="AI83" s="1658"/>
      <c r="AJ83" s="1658"/>
      <c r="AK83" s="1658"/>
      <c r="AL83" s="1658"/>
      <c r="AM83" s="1658"/>
      <c r="AN83" s="1658"/>
      <c r="AO83" s="1658"/>
      <c r="AP83" s="1658"/>
      <c r="AQ83" s="1658"/>
      <c r="AR83" s="1658"/>
      <c r="AS83" s="1658"/>
      <c r="AT83" s="1658"/>
      <c r="AU83" s="1658"/>
      <c r="AV83" s="1658"/>
      <c r="AW83" s="1658"/>
      <c r="AX83" s="1658"/>
      <c r="AY83" s="1658"/>
      <c r="AZ83" s="1658"/>
      <c r="BA83" s="1658"/>
      <c r="BB83" s="1658"/>
    </row>
    <row r="84" spans="1:56" ht="31.5" customHeight="1" thickBot="1" x14ac:dyDescent="0.3">
      <c r="A84" s="262"/>
      <c r="B84" s="2067"/>
      <c r="C84" s="2107"/>
      <c r="D84" s="2102"/>
      <c r="E84" s="2102"/>
      <c r="F84" s="2103"/>
      <c r="G84" s="1908">
        <f>ROUND(('Звіт 10, 11,12,13,14'!F13+'Звіт 10, 11,12,13,14'!F22+'Звіт 10, 11,12,13,14'!G11-'Звіт 10, 11,12,13,14'!G12+'Звіт 10, 11,12,13,14'!I11-'Звіт 10, 11,12,13,14'!I12+'Звіт 10, 11,12,13,14'!G20-'Звіт 10, 11,12,13,14'!G21+'Звіт 10, 11,12,13,14'!I20-'Звіт 10, 11,12,13,14'!I21)/1000,1)</f>
        <v>23926</v>
      </c>
      <c r="H84" s="1776">
        <f>ROUND(('Звіт 10, 11,12,13,14'!F66+'Звіт 10, 11,12,13,14'!F68+'Звіт 10, 11,12,13,14'!F71)/1000,1)</f>
        <v>23926</v>
      </c>
      <c r="I84" s="1909">
        <f>ROUND((H84-G84),1)</f>
        <v>0</v>
      </c>
      <c r="J84" s="1798">
        <f>ROUND(('Звіт 10, 11,12,13,14'!AB13+'Звіт 10, 11,12,13,14'!AB22+'Звіт 10, 11,12,13,14'!AC11-'Звіт 10, 11,12,13,14'!AC12+'Звіт 10, 11,12,13,14'!AD11-'Звіт 10, 11,12,13,14'!AD12+'Звіт 10, 11,12,13,14'!AC20-'Звіт 10, 11,12,13,14'!AC21+'Звіт 10, 11,12,13,14'!AD20-'Звіт 10, 11,12,13,14'!AD21)/1000,1)</f>
        <v>23854.400000000001</v>
      </c>
      <c r="K84" s="1742">
        <f>ROUND(('Звіт 10, 11,12,13,14'!K66+'Звіт 10, 11,12,13,14'!K68+'Звіт 10, 11,12,13,14'!K71)/1000,1)</f>
        <v>23854.400000000001</v>
      </c>
      <c r="L84" s="1711">
        <f>ROUND((K84-J84),1)</f>
        <v>0</v>
      </c>
      <c r="M84" s="271" t="str">
        <f>'Звіт 10, 11,12,13,14'!AM10</f>
        <v>ПРАВДА</v>
      </c>
      <c r="N84" s="1644" t="str">
        <f>'Звіт 10, 11,12,13,14'!AN10</f>
        <v>ПРАВДА</v>
      </c>
      <c r="O84" s="271" t="str">
        <f>'Звіт 10, 11,12,13,14'!AM19</f>
        <v>ПРАВДА</v>
      </c>
      <c r="P84" s="1644" t="str">
        <f>'Звіт 10, 11,12,13,14'!AN19</f>
        <v>ПРАВДА</v>
      </c>
      <c r="Q84" s="1457">
        <f>ROUND(('Звіт 10, 11,12,13,14'!M23)/1000,1)</f>
        <v>0</v>
      </c>
      <c r="R84" s="1648">
        <f>ROUND(('Звіт 10, 11,12,13,14'!R24)/1000,1)</f>
        <v>0</v>
      </c>
      <c r="S84" s="1648">
        <f>ROUND(('Звіт 10, 11,12,13,14'!G67)/1000,1)</f>
        <v>0</v>
      </c>
      <c r="T84" s="1777">
        <f>ROUND(('Звіт 10, 11,12,13,14'!G86)/1000,1)</f>
        <v>0</v>
      </c>
      <c r="U84" s="1777">
        <f>ROUND(('Звіт 10, 11,12,13,14'!G87)/1000,1)</f>
        <v>0</v>
      </c>
      <c r="V84" s="268" t="str">
        <f>IF('Звіт   4,5,6'!E39=0,"Дані не введено",IF(AND(Q84=0,R84=0,S84=0,T84=0,U84=0),"ПРАВДА",IF(AND(Q84&gt;0,S84&gt;0,T84+U84=R84),"ПРАВДА",IF(AND(Q84&gt;0,R84&gt;0,S84=0,T84+U84=R84,Q84&gt;R84),"ПРАВДА","ПОМИЛКА"))))</f>
        <v>ПРАВДА</v>
      </c>
      <c r="W84" s="1726"/>
      <c r="X84" s="1726"/>
      <c r="Y84" s="1726"/>
      <c r="Z84" s="1659"/>
      <c r="AA84" s="1659"/>
      <c r="AB84" s="1659"/>
      <c r="AC84" s="1659"/>
      <c r="AD84" s="1658"/>
      <c r="AE84" s="1658"/>
      <c r="AF84" s="1658"/>
      <c r="AG84" s="1658"/>
      <c r="AH84" s="1658"/>
      <c r="AI84" s="1658"/>
      <c r="AJ84" s="1658"/>
      <c r="AK84" s="1658"/>
      <c r="AL84" s="1658"/>
      <c r="AM84" s="1658"/>
      <c r="AN84" s="1658"/>
      <c r="AO84" s="1658"/>
      <c r="AP84" s="1658"/>
      <c r="AQ84" s="1658"/>
      <c r="AR84" s="1658"/>
      <c r="AS84" s="1658"/>
      <c r="AT84" s="1658"/>
      <c r="AU84" s="1658"/>
      <c r="AV84" s="1658"/>
      <c r="AW84" s="1658"/>
      <c r="AX84" s="1658"/>
      <c r="AY84" s="1658"/>
      <c r="AZ84" s="1658"/>
      <c r="BA84" s="1658"/>
      <c r="BB84" s="1658"/>
    </row>
    <row r="85" spans="1:56" ht="126" customHeight="1" x14ac:dyDescent="0.25">
      <c r="A85" s="262"/>
      <c r="B85" s="2066" t="s">
        <v>426</v>
      </c>
      <c r="C85" s="2093" t="s">
        <v>591</v>
      </c>
      <c r="D85" s="2108" t="s">
        <v>441</v>
      </c>
      <c r="E85" s="2007" t="s">
        <v>351</v>
      </c>
      <c r="F85" s="2072" t="str">
        <f>IF('Звіт   4,5,6'!E39=0,"Дані не введено",IF(H78="ПОМИЛКА","ПОМИЛКА",IF(AND(G86&gt;0,H86&gt;0,H86&gt;=G86/4,H86&lt;=G86),"ПРАВДА","ПОМИЛКА")))</f>
        <v>ПРАВДА</v>
      </c>
      <c r="G85" s="1728" t="s">
        <v>536</v>
      </c>
      <c r="H85" s="1728" t="s">
        <v>538</v>
      </c>
      <c r="I85" s="1886" t="s">
        <v>534</v>
      </c>
      <c r="J85" s="1905" t="s">
        <v>537</v>
      </c>
      <c r="K85" s="1728" t="s">
        <v>539</v>
      </c>
      <c r="L85" s="1705" t="s">
        <v>534</v>
      </c>
      <c r="M85" s="1872"/>
      <c r="N85" s="1872"/>
      <c r="O85" s="1872"/>
      <c r="P85" s="1659"/>
      <c r="Q85" s="1659"/>
      <c r="R85" s="1659"/>
      <c r="S85" s="1659"/>
      <c r="T85" s="1659"/>
      <c r="U85" s="1659"/>
      <c r="V85" s="1659"/>
      <c r="W85" s="1659"/>
      <c r="X85" s="1659"/>
      <c r="Y85" s="1659"/>
      <c r="Z85" s="1659"/>
      <c r="AA85" s="1659"/>
      <c r="AB85" s="1659"/>
      <c r="AC85" s="1659"/>
      <c r="AD85" s="1658"/>
      <c r="AE85" s="1658"/>
      <c r="AF85" s="1658"/>
      <c r="AG85" s="1658"/>
      <c r="AH85" s="1658"/>
      <c r="AI85" s="1658"/>
      <c r="AJ85" s="1658"/>
      <c r="AK85" s="1658"/>
      <c r="AL85" s="1658"/>
      <c r="AM85" s="1658"/>
      <c r="AN85" s="1658"/>
      <c r="AO85" s="1658"/>
      <c r="AP85" s="1658"/>
      <c r="AQ85" s="1658"/>
      <c r="AR85" s="1658"/>
      <c r="AS85" s="1658"/>
      <c r="AT85" s="1658"/>
      <c r="AU85" s="1658"/>
      <c r="AV85" s="1658"/>
      <c r="AW85" s="1658"/>
      <c r="AX85" s="1658"/>
      <c r="AY85" s="1658"/>
      <c r="AZ85" s="1658"/>
      <c r="BA85" s="1658"/>
      <c r="BB85" s="1658"/>
    </row>
    <row r="86" spans="1:56" ht="36" customHeight="1" thickBot="1" x14ac:dyDescent="0.3">
      <c r="A86" s="262"/>
      <c r="B86" s="2067"/>
      <c r="C86" s="2094"/>
      <c r="D86" s="2109"/>
      <c r="E86" s="2038"/>
      <c r="F86" s="2065"/>
      <c r="G86" s="1646">
        <f>ROUND(('Звіт   9'!H13+'Звіт   9'!H27),1)</f>
        <v>28719.7</v>
      </c>
      <c r="H86" s="1646">
        <f>ROUND(('Звіт   9'!H66+'Звіт   9'!H67),1)</f>
        <v>27137.3</v>
      </c>
      <c r="I86" s="1910">
        <f>H86*100/G86</f>
        <v>94.490193142686024</v>
      </c>
      <c r="J86" s="271">
        <f>ROUND(('Звіт   9'!K13+'Звіт   9'!K27),1)</f>
        <v>31526.400000000001</v>
      </c>
      <c r="K86" s="1646">
        <f>ROUND(('Звіт   9'!K66+'Звіт   9'!K67),1)</f>
        <v>30506</v>
      </c>
      <c r="L86" s="1716">
        <f>K86*100/J86</f>
        <v>96.763347543645949</v>
      </c>
      <c r="M86" s="2011"/>
      <c r="N86" s="2011"/>
      <c r="O86" s="2011"/>
      <c r="P86" s="2011"/>
      <c r="Q86" s="1838"/>
      <c r="R86" s="1838"/>
      <c r="S86" s="2011"/>
      <c r="T86" s="2011"/>
      <c r="U86" s="1659"/>
      <c r="V86" s="1659"/>
      <c r="W86" s="1659"/>
      <c r="X86" s="1659"/>
      <c r="Y86" s="1659"/>
      <c r="Z86" s="1659"/>
      <c r="AA86" s="1659"/>
      <c r="AB86" s="1659"/>
      <c r="AC86" s="1659"/>
      <c r="AD86" s="1658"/>
      <c r="AE86" s="1658"/>
      <c r="AF86" s="1658"/>
      <c r="AG86" s="1658"/>
      <c r="AH86" s="1658"/>
      <c r="AI86" s="1658"/>
      <c r="AJ86" s="1658"/>
      <c r="AK86" s="1658"/>
      <c r="AL86" s="1658"/>
      <c r="AM86" s="1658"/>
      <c r="AN86" s="1658"/>
      <c r="AO86" s="1658"/>
      <c r="AP86" s="1658"/>
      <c r="AQ86" s="1658"/>
      <c r="AR86" s="1658"/>
      <c r="AS86" s="1658"/>
      <c r="AT86" s="1658"/>
      <c r="AU86" s="1658"/>
      <c r="AV86" s="1658"/>
      <c r="AW86" s="1658"/>
      <c r="AX86" s="1658"/>
      <c r="AY86" s="1658"/>
      <c r="AZ86" s="1658"/>
      <c r="BA86" s="1658"/>
      <c r="BB86" s="1658"/>
    </row>
    <row r="87" spans="1:56" ht="45" customHeight="1" thickBot="1" x14ac:dyDescent="0.3">
      <c r="A87" s="262"/>
      <c r="B87" s="1903"/>
      <c r="C87" s="1821"/>
      <c r="D87" s="1904"/>
      <c r="E87" s="1722"/>
      <c r="F87" s="1651"/>
      <c r="G87" s="2047" t="s">
        <v>649</v>
      </c>
      <c r="H87" s="2048"/>
      <c r="I87" s="2048"/>
      <c r="J87" s="2048"/>
      <c r="K87" s="2048"/>
      <c r="L87" s="2049"/>
      <c r="M87" s="2022" t="s">
        <v>1519</v>
      </c>
      <c r="N87" s="2022"/>
      <c r="O87" s="2022"/>
      <c r="P87" s="2022"/>
      <c r="Q87" s="2022"/>
      <c r="R87" s="1838"/>
      <c r="S87" s="1659"/>
      <c r="T87" s="1659"/>
      <c r="U87" s="1659"/>
      <c r="V87" s="1659"/>
      <c r="W87" s="1659"/>
      <c r="X87" s="1659"/>
      <c r="Y87" s="1659"/>
      <c r="Z87" s="1659"/>
      <c r="AA87" s="1659"/>
      <c r="AB87" s="1659"/>
      <c r="AC87" s="1659"/>
      <c r="AD87" s="1658"/>
      <c r="AE87" s="1658"/>
      <c r="AF87" s="1658"/>
      <c r="AG87" s="1658"/>
      <c r="AH87" s="1658"/>
      <c r="AI87" s="1658"/>
      <c r="AJ87" s="1658"/>
      <c r="AK87" s="1658"/>
      <c r="AL87" s="1658"/>
      <c r="AM87" s="1658"/>
      <c r="AN87" s="1658"/>
      <c r="AO87" s="1658"/>
      <c r="AP87" s="1658"/>
      <c r="AQ87" s="1658"/>
      <c r="AR87" s="1658"/>
      <c r="AS87" s="1658"/>
      <c r="AT87" s="1658"/>
      <c r="AU87" s="1658"/>
      <c r="AV87" s="1658"/>
      <c r="AW87" s="1658"/>
      <c r="AX87" s="1658"/>
      <c r="AY87" s="1658"/>
      <c r="AZ87" s="1658"/>
      <c r="BA87" s="1658"/>
      <c r="BB87" s="1658"/>
    </row>
    <row r="88" spans="1:56" ht="132" thickBot="1" x14ac:dyDescent="0.3">
      <c r="A88" s="262"/>
      <c r="B88" s="2066" t="s">
        <v>541</v>
      </c>
      <c r="C88" s="2093" t="s">
        <v>1742</v>
      </c>
      <c r="D88" s="2007" t="s">
        <v>343</v>
      </c>
      <c r="E88" s="2007" t="s">
        <v>349</v>
      </c>
      <c r="F88" s="2072" t="str">
        <f>IF('Звіт   4,5,6'!E39=0,"Дані не введено",IF(OR(Q89="ПОМИЛКА",P89="ПОМИЛКА",M89="ПОМИЛКА",N89="ПОМИЛКА",O89="ПОМИЛКА"),"ПОМИЛКА",IF(AND(I89&lt;=1,I89&gt;=-1,L89&lt;=1,L89&gt;=-1),"ПРАВДА","ПОМИЛКА")))</f>
        <v>ПРАВДА</v>
      </c>
      <c r="G88" s="1728" t="s">
        <v>651</v>
      </c>
      <c r="H88" s="1728" t="str">
        <f>H85</f>
        <v>Баланс Пасив Таблиця 9
Цільове фінансування на початок періоду в частині залишків запасів та незавершених капітальних інвестицій</v>
      </c>
      <c r="I88" s="1708" t="s">
        <v>535</v>
      </c>
      <c r="J88" s="1728" t="s">
        <v>868</v>
      </c>
      <c r="K88" s="1728" t="str">
        <f>K85</f>
        <v>Баланс Пасив Таблиця 9
Цільове фінансування на кінець періоду в частині залишків запасів та незавершених капітальних інвестицій</v>
      </c>
      <c r="L88" s="1708" t="s">
        <v>535</v>
      </c>
      <c r="M88" s="1911" t="s">
        <v>652</v>
      </c>
      <c r="N88" s="1911" t="s">
        <v>597</v>
      </c>
      <c r="O88" s="1912" t="s">
        <v>1651</v>
      </c>
      <c r="P88" s="1913" t="s">
        <v>1652</v>
      </c>
      <c r="Q88" s="1913" t="s">
        <v>1653</v>
      </c>
      <c r="R88" s="1914"/>
      <c r="S88" s="1659"/>
      <c r="T88" s="1659"/>
      <c r="U88" s="1659"/>
      <c r="V88" s="1659"/>
      <c r="W88" s="1659"/>
      <c r="X88" s="1659"/>
      <c r="Y88" s="1659"/>
      <c r="Z88" s="1659"/>
      <c r="AA88" s="1659"/>
      <c r="AB88" s="1659"/>
      <c r="AC88" s="1659"/>
      <c r="AD88" s="1658"/>
      <c r="AE88" s="1658"/>
      <c r="AF88" s="1658"/>
      <c r="AG88" s="1658"/>
      <c r="AH88" s="1658"/>
      <c r="AI88" s="1658"/>
      <c r="AJ88" s="1658"/>
      <c r="AK88" s="1658"/>
      <c r="AL88" s="1658"/>
      <c r="AM88" s="1658"/>
      <c r="AN88" s="1658"/>
      <c r="AO88" s="1658"/>
      <c r="AP88" s="1658"/>
      <c r="AQ88" s="1658"/>
      <c r="AR88" s="1658"/>
      <c r="AS88" s="1658"/>
      <c r="AT88" s="1658"/>
      <c r="AU88" s="1658"/>
      <c r="AV88" s="1658"/>
      <c r="AW88" s="1658"/>
      <c r="AX88" s="1658"/>
      <c r="AY88" s="1658"/>
      <c r="AZ88" s="1658"/>
      <c r="BA88" s="1658"/>
      <c r="BB88" s="1658"/>
    </row>
    <row r="89" spans="1:56" ht="46.15" customHeight="1" thickBot="1" x14ac:dyDescent="0.3">
      <c r="A89" s="262"/>
      <c r="B89" s="2067"/>
      <c r="C89" s="2094"/>
      <c r="D89" s="2038"/>
      <c r="E89" s="2038"/>
      <c r="F89" s="2065"/>
      <c r="G89" s="1776">
        <f>ROUND(('Звіт 10, 11,12,13,14'!I17+'Звіт 10, 11,12,13,14'!I26)/1000,1)</f>
        <v>27137.3</v>
      </c>
      <c r="H89" s="1450">
        <f>H86</f>
        <v>27137.3</v>
      </c>
      <c r="I89" s="1915">
        <f>ROUND((H89-G89),1)</f>
        <v>0</v>
      </c>
      <c r="J89" s="1776">
        <f>ROUND(('Звіт 10, 11,12,13,14'!AD17+'Звіт 10, 11,12,13,14'!I78+'Звіт 10, 11,12,13,14'!AD27)/1000,1)</f>
        <v>30506</v>
      </c>
      <c r="K89" s="1450">
        <f>K86</f>
        <v>30506</v>
      </c>
      <c r="L89" s="1915">
        <f>ROUND((K89-J89),1)</f>
        <v>0</v>
      </c>
      <c r="M89" s="1647" t="str">
        <f>'Звіт 10, 11,12,13,14'!AH17</f>
        <v>ПРАВДА</v>
      </c>
      <c r="N89" s="1647" t="str">
        <f>'Звіт 10, 11,12,13,14'!AI17</f>
        <v>ПРАВДА</v>
      </c>
      <c r="O89" s="1649" t="str">
        <f>'Звіт 10, 11,12,13,14'!AJ17</f>
        <v>ПРАВДА</v>
      </c>
      <c r="P89" s="1649" t="str">
        <f>IF('Звіт   4,5,6'!E39=0,"Дані не введено",IF(AND(('Звіт   9'!H13-'Звіт 10, 11,12,13,14'!F17/1000)&lt;=1,('Звіт   9'!H13-'Звіт 10, 11,12,13,14'!F17/1000)&gt;=-1),"ПРАВДА","ПОМИЛКА"))</f>
        <v>ПРАВДА</v>
      </c>
      <c r="Q89" s="1649" t="str">
        <f>IF('Звіт   4,5,6'!E39=0,"Дані не введено",IF(AND(('Звіт   9'!K13-'Звіт 10, 11,12,13,14'!AB17/1000)&lt;=1,('Звіт   9'!K13-'Звіт 10, 11,12,13,14'!AB17/1000)&gt;=-1),"ПРАВДА","ПОМИЛКА"))</f>
        <v>ПРАВДА</v>
      </c>
      <c r="R89" s="1651"/>
      <c r="S89" s="1659"/>
      <c r="T89" s="1647" t="str">
        <f>IF('Звіт   4,5,6'!E39=0,"Дані не введено",IF(AND(Q92&gt;=0,T92&gt;=0),"ПРАВДА","ПОМИЛКА"))</f>
        <v>ПРАВДА</v>
      </c>
      <c r="U89" s="1659"/>
      <c r="V89" s="1659"/>
      <c r="W89" s="1659"/>
      <c r="X89" s="1659"/>
      <c r="Y89" s="1659"/>
      <c r="Z89" s="1659"/>
      <c r="AA89" s="1659"/>
      <c r="AB89" s="1647" t="str">
        <f>IF('Звіт   4,5,6'!E39=0,"Дані не введено",IF(AND(X92&gt;=0,AB92&gt;=0),"ПРАВДА","ПОМИЛКА"))</f>
        <v>ПРАВДА</v>
      </c>
      <c r="AC89" s="1659"/>
      <c r="AD89" s="1658"/>
      <c r="AE89" s="1658"/>
      <c r="AF89" s="1658"/>
      <c r="AG89" s="1658"/>
      <c r="AH89" s="1658"/>
      <c r="AI89" s="1658"/>
      <c r="AJ89" s="1647" t="str">
        <f>IF('Звіт   4,5,6'!E39=0,"Дані не введено",IF(AND(AF92&gt;=0,AJ92&gt;=0),"ПРАВДА","ПОМИЛКА"))</f>
        <v>ПРАВДА</v>
      </c>
      <c r="AK89" s="1647" t="str">
        <f>IF('Звіт   4,5,6'!E39=0,"Дані не введено",IF(AK92=0,"ПРАВДА","ПОМИЛКА"))</f>
        <v>ПРАВДА</v>
      </c>
      <c r="AL89" s="1658"/>
      <c r="AM89" s="1658"/>
      <c r="AN89" s="1658"/>
      <c r="AO89" s="1658"/>
      <c r="AP89" s="1658"/>
      <c r="AQ89" s="1647" t="str">
        <f>IF('Звіт   4,5,6'!E39=0,"Дані не введено",IF(AND(AP92&gt;=0,AQ92&gt;=0),"ПРАВДА","ПОМИЛКА"))</f>
        <v>ПРАВДА</v>
      </c>
      <c r="AR89" s="1658"/>
      <c r="AS89" s="1658"/>
      <c r="AT89" s="1658"/>
      <c r="AU89" s="1658"/>
      <c r="AV89" s="1658"/>
      <c r="AW89" s="1647" t="str">
        <f>IF('Звіт   4,5,6'!E39=0,"Дані не введено",IF(AND(AV92&gt;=0,AW92&gt;=0),"ПРАВДА","ПОМИЛКА"))</f>
        <v>ПРАВДА</v>
      </c>
      <c r="AX89" s="1658"/>
      <c r="AY89" s="1658"/>
      <c r="AZ89" s="1658"/>
      <c r="BA89" s="1658"/>
      <c r="BB89" s="1550" t="str">
        <f>IF('Звіт   4,5,6'!E39=0,"Дані не введено",IF(BB92=0,"ПРАВДА","ПОМИЛКА"))</f>
        <v>ПРАВДА</v>
      </c>
    </row>
    <row r="90" spans="1:56" s="696" customFormat="1" ht="75" customHeight="1" thickBot="1" x14ac:dyDescent="0.35">
      <c r="A90" s="1489"/>
      <c r="B90" s="1722"/>
      <c r="C90" s="1821"/>
      <c r="D90" s="1722"/>
      <c r="E90" s="1722"/>
      <c r="F90" s="1651"/>
      <c r="G90" s="2044" t="s">
        <v>1695</v>
      </c>
      <c r="H90" s="2045"/>
      <c r="I90" s="2045"/>
      <c r="J90" s="2045"/>
      <c r="K90" s="2045"/>
      <c r="L90" s="2045"/>
      <c r="M90" s="2045"/>
      <c r="N90" s="2046"/>
      <c r="O90" s="2041" t="s">
        <v>1694</v>
      </c>
      <c r="P90" s="2042"/>
      <c r="Q90" s="2042"/>
      <c r="R90" s="2042"/>
      <c r="S90" s="2042"/>
      <c r="T90" s="2043"/>
      <c r="U90" s="2027" t="s">
        <v>1755</v>
      </c>
      <c r="V90" s="2028"/>
      <c r="W90" s="2028"/>
      <c r="X90" s="2028"/>
      <c r="Y90" s="2028"/>
      <c r="Z90" s="2028"/>
      <c r="AA90" s="2028"/>
      <c r="AB90" s="2029"/>
      <c r="AC90" s="2028" t="s">
        <v>1692</v>
      </c>
      <c r="AD90" s="2028"/>
      <c r="AE90" s="2028"/>
      <c r="AF90" s="2028"/>
      <c r="AG90" s="2028"/>
      <c r="AH90" s="2028"/>
      <c r="AI90" s="2028"/>
      <c r="AJ90" s="2029"/>
      <c r="AK90" s="1916" t="s">
        <v>1693</v>
      </c>
      <c r="AL90" s="2006" t="s">
        <v>1706</v>
      </c>
      <c r="AM90" s="2007"/>
      <c r="AN90" s="2007"/>
      <c r="AO90" s="2007"/>
      <c r="AP90" s="2007"/>
      <c r="AQ90" s="2008"/>
      <c r="AR90" s="2009" t="s">
        <v>1705</v>
      </c>
      <c r="AS90" s="2007"/>
      <c r="AT90" s="2007"/>
      <c r="AU90" s="2007"/>
      <c r="AV90" s="2007"/>
      <c r="AW90" s="2010"/>
      <c r="AX90" s="2006" t="s">
        <v>1772</v>
      </c>
      <c r="AY90" s="2007"/>
      <c r="AZ90" s="2007"/>
      <c r="BA90" s="2008"/>
      <c r="BB90" s="1917" t="s">
        <v>1841</v>
      </c>
      <c r="BD90" s="1490"/>
    </row>
    <row r="91" spans="1:56" s="696" customFormat="1" ht="104.25" customHeight="1" x14ac:dyDescent="0.3">
      <c r="A91" s="1489"/>
      <c r="B91" s="2104">
        <v>38</v>
      </c>
      <c r="C91" s="2100" t="s">
        <v>1842</v>
      </c>
      <c r="D91" s="2036" t="s">
        <v>343</v>
      </c>
      <c r="E91" s="2007" t="s">
        <v>349</v>
      </c>
      <c r="F91" s="2072" t="str">
        <f>IF('Звіт   4,5,6'!E39=0,"Дані не введено",IF(AND(J92&gt;=0,N92&gt;=0,Q92&gt;=0,T92&gt;=0,X92&gt;=0,AB92&gt;=0,AF92&gt;=0,AJ92&gt;=0,AK92=0,AP92&gt;=0,AQ92&gt;=0,AV92&gt;=0,AW92&gt;=0,BA92="ПРАВДА",BB92=0),"ПРАВДА","ПОМИЛКА"))</f>
        <v>ПРАВДА</v>
      </c>
      <c r="G91" s="1728" t="s">
        <v>654</v>
      </c>
      <c r="H91" s="1728" t="str">
        <f>'Звіт   9'!A66</f>
        <v>на суму залишків з запасів, що отримані з бюджету або як благодійна допомога</v>
      </c>
      <c r="I91" s="1728" t="str">
        <f>'Звіт   9'!A67</f>
        <v>на суму залишків з капітальних інвестицій, що отримані з бюджету або як благодійна допомога</v>
      </c>
      <c r="J91" s="1708" t="s">
        <v>535</v>
      </c>
      <c r="K91" s="1728" t="s">
        <v>655</v>
      </c>
      <c r="L91" s="1728" t="str">
        <f>H91</f>
        <v>на суму залишків з запасів, що отримані з бюджету або як благодійна допомога</v>
      </c>
      <c r="M91" s="1728" t="str">
        <f>I91</f>
        <v>на суму залишків з капітальних інвестицій, що отримані з бюджету або як благодійна допомога</v>
      </c>
      <c r="N91" s="1708" t="s">
        <v>535</v>
      </c>
      <c r="O91" s="1728" t="s">
        <v>657</v>
      </c>
      <c r="P91" s="1728" t="str">
        <f>'Звіт   9'!A87</f>
        <v>залишкова вартість НА,ОЗ що  придбані за кошти цільового фінансування</v>
      </c>
      <c r="Q91" s="1708" t="s">
        <v>535</v>
      </c>
      <c r="R91" s="1728" t="s">
        <v>658</v>
      </c>
      <c r="S91" s="1728" t="str">
        <f>P91</f>
        <v>залишкова вартість НА,ОЗ що  придбані за кошти цільового фінансування</v>
      </c>
      <c r="T91" s="1886" t="str">
        <f>Q91</f>
        <v>відхилення</v>
      </c>
      <c r="U91" s="1918" t="s">
        <v>1672</v>
      </c>
      <c r="V91" s="1774" t="str">
        <f>'Звіт   9'!A83</f>
        <v>у тому числі аванси за ПМГ</v>
      </c>
      <c r="W91" s="1774" t="s">
        <v>1750</v>
      </c>
      <c r="X91" s="1708" t="s">
        <v>535</v>
      </c>
      <c r="Y91" s="1774" t="s">
        <v>1673</v>
      </c>
      <c r="Z91" s="1774" t="str">
        <f>V91</f>
        <v>у тому числі аванси за ПМГ</v>
      </c>
      <c r="AA91" s="1774" t="s">
        <v>1750</v>
      </c>
      <c r="AB91" s="1705" t="str">
        <f>X91</f>
        <v>відхилення</v>
      </c>
      <c r="AC91" s="1919" t="s">
        <v>1683</v>
      </c>
      <c r="AD91" s="1774" t="s">
        <v>1685</v>
      </c>
      <c r="AE91" s="1774" t="s">
        <v>1687</v>
      </c>
      <c r="AF91" s="1708" t="s">
        <v>535</v>
      </c>
      <c r="AG91" s="1774" t="s">
        <v>1684</v>
      </c>
      <c r="AH91" s="1774" t="s">
        <v>1686</v>
      </c>
      <c r="AI91" s="1774" t="s">
        <v>1688</v>
      </c>
      <c r="AJ91" s="1708" t="s">
        <v>535</v>
      </c>
      <c r="AK91" s="1920" t="s">
        <v>1689</v>
      </c>
      <c r="AL91" s="1795" t="s">
        <v>1690</v>
      </c>
      <c r="AM91" s="1793" t="s">
        <v>1691</v>
      </c>
      <c r="AN91" s="1793" t="s">
        <v>1696</v>
      </c>
      <c r="AO91" s="1793" t="s">
        <v>1777</v>
      </c>
      <c r="AP91" s="1816" t="s">
        <v>1700</v>
      </c>
      <c r="AQ91" s="1902" t="s">
        <v>1771</v>
      </c>
      <c r="AR91" s="1865" t="s">
        <v>1775</v>
      </c>
      <c r="AS91" s="1793" t="s">
        <v>1776</v>
      </c>
      <c r="AT91" s="1793" t="s">
        <v>1722</v>
      </c>
      <c r="AU91" s="1793" t="s">
        <v>1770</v>
      </c>
      <c r="AV91" s="1816" t="s">
        <v>1699</v>
      </c>
      <c r="AW91" s="1921" t="s">
        <v>1835</v>
      </c>
      <c r="AX91" s="1795" t="s">
        <v>1711</v>
      </c>
      <c r="AY91" s="1793" t="s">
        <v>1778</v>
      </c>
      <c r="AZ91" s="1793" t="s">
        <v>1779</v>
      </c>
      <c r="BA91" s="1889"/>
      <c r="BB91" s="1922" t="s">
        <v>1840</v>
      </c>
    </row>
    <row r="92" spans="1:56" s="696" customFormat="1" ht="191.25" customHeight="1" thickBot="1" x14ac:dyDescent="0.35">
      <c r="A92" s="1489"/>
      <c r="B92" s="2105"/>
      <c r="C92" s="2106"/>
      <c r="D92" s="2037"/>
      <c r="E92" s="2038"/>
      <c r="F92" s="2065"/>
      <c r="G92" s="1742">
        <f>ROUND(('Звіт   9'!H65),1)</f>
        <v>27137.3</v>
      </c>
      <c r="H92" s="1742">
        <f>ROUND(('Звіт   9'!H66),1)</f>
        <v>27030.7</v>
      </c>
      <c r="I92" s="1742">
        <f>ROUND(('Звіт   9'!H67),1)</f>
        <v>106.6</v>
      </c>
      <c r="J92" s="662">
        <f>ROUND((G92-H92-I92),1)</f>
        <v>0</v>
      </c>
      <c r="K92" s="1742">
        <f>ROUND(('Звіт   9'!K65),1)</f>
        <v>31241.7</v>
      </c>
      <c r="L92" s="1742">
        <f>ROUND(('Звіт   9'!K66),1)</f>
        <v>30445.1</v>
      </c>
      <c r="M92" s="1742">
        <f>ROUND(('Звіт   9'!K67),1)</f>
        <v>60.9</v>
      </c>
      <c r="N92" s="662">
        <f>ROUND((K92-L92-M92),1)</f>
        <v>735.7</v>
      </c>
      <c r="O92" s="1742">
        <f>ROUND(('Звіт   9'!H86),1)</f>
        <v>244.9</v>
      </c>
      <c r="P92" s="1742">
        <f>ROUND(('Звіт   9'!H87),1)</f>
        <v>244.9</v>
      </c>
      <c r="Q92" s="662">
        <f>ROUND((O92-P92),1)</f>
        <v>0</v>
      </c>
      <c r="R92" s="1742">
        <f>ROUND(('Звіт   9'!K86),1)</f>
        <v>194.8</v>
      </c>
      <c r="S92" s="1776">
        <f>ROUND(('Звіт   9'!K87),1)</f>
        <v>194.8</v>
      </c>
      <c r="T92" s="662">
        <f>ROUND((R92-S92),1)</f>
        <v>0</v>
      </c>
      <c r="U92" s="1800">
        <f>ROUND(('Звіт   9'!H82),1)</f>
        <v>0</v>
      </c>
      <c r="V92" s="1777">
        <f>ROUND(('Звіт   9'!H83),1)</f>
        <v>0</v>
      </c>
      <c r="W92" s="1777">
        <f>ROUND(('Звіт   9'!H84),1)</f>
        <v>0</v>
      </c>
      <c r="X92" s="662">
        <f>ROUND((U92-V92-W92),1)</f>
        <v>0</v>
      </c>
      <c r="Y92" s="1777">
        <f>ROUND(('Звіт   9'!K82),1)</f>
        <v>52.9</v>
      </c>
      <c r="Z92" s="1777">
        <f>ROUND(('Звіт   9'!K83),1)</f>
        <v>0</v>
      </c>
      <c r="AA92" s="1777">
        <f>ROUND(('Звіт   9'!K84),1)</f>
        <v>0</v>
      </c>
      <c r="AB92" s="662">
        <f>ROUND((Y92-Z92-AA92),1)</f>
        <v>52.9</v>
      </c>
      <c r="AC92" s="1923">
        <f>ROUND(('Звіт   9'!H68),1)</f>
        <v>0</v>
      </c>
      <c r="AD92" s="1924">
        <f>ROUND(('Звіт   9'!H33),1)</f>
        <v>0</v>
      </c>
      <c r="AE92" s="1924">
        <f>ROUND(('Звіт   9'!H41),1)</f>
        <v>3908.7</v>
      </c>
      <c r="AF92" s="662">
        <f>ROUND((AD92+AE92-AC92),1)</f>
        <v>3908.7</v>
      </c>
      <c r="AG92" s="1924">
        <f>ROUND(('Звіт   9'!K68),1)</f>
        <v>735.7</v>
      </c>
      <c r="AH92" s="1924">
        <f>ROUND(('Звіт   9'!K33),1)</f>
        <v>0</v>
      </c>
      <c r="AI92" s="1924">
        <f>ROUND(('Звіт   9'!K41),1)</f>
        <v>811.6</v>
      </c>
      <c r="AJ92" s="662">
        <f>ROUND((AH92+AI92-AG92),1)</f>
        <v>75.900000000000006</v>
      </c>
      <c r="AK92" s="1925">
        <f>ROUND(('Звіт   9'!H54+'Звіт   9'!K54),1)</f>
        <v>0</v>
      </c>
      <c r="AL92" s="1926">
        <f>ROUND(('Звіт   9'!H85),1)</f>
        <v>0</v>
      </c>
      <c r="AM92" s="1924">
        <f>ROUND(('Звіт   9'!K85),1)</f>
        <v>0</v>
      </c>
      <c r="AN92" s="1924">
        <f>ROUND(('Звіт  7,8'!F9/1000/3),1)</f>
        <v>5630.5</v>
      </c>
      <c r="AO92" s="1924">
        <f>ROUND(('Звіт  7,8'!F9/1000/3+'Звіт  7,8'!F9/1000/3/12*3),1)</f>
        <v>7038.1</v>
      </c>
      <c r="AP92" s="662">
        <f>ROUND((AN92-AL92),1)</f>
        <v>5630.5</v>
      </c>
      <c r="AQ92" s="662">
        <f>ROUND((AO92-AM92),1)</f>
        <v>7038.1</v>
      </c>
      <c r="AR92" s="1927">
        <f>ROUND(('Звіт   9'!H88),1)</f>
        <v>0</v>
      </c>
      <c r="AS92" s="1777">
        <f>ROUND(('Звіт   9'!K88),1)</f>
        <v>0</v>
      </c>
      <c r="AT92" s="1777">
        <f>ROUND(((('Звіт 1,2,3'!I57)/1000)),1)</f>
        <v>0</v>
      </c>
      <c r="AU92" s="1777">
        <f>ROUND(((AT92/3)*(2)),1)</f>
        <v>0</v>
      </c>
      <c r="AV92" s="662">
        <f>ROUND((AU92-AR92),1)</f>
        <v>0</v>
      </c>
      <c r="AW92" s="662">
        <f>ROUND((AU92-AS92),1)</f>
        <v>0</v>
      </c>
      <c r="AX92" s="1800">
        <f>ROUND(('Звіт 1,2,3'!G19/1000000),1)</f>
        <v>27.1</v>
      </c>
      <c r="AY92" s="1777">
        <f>ROUND(('Звіт   9'!H89),1)</f>
        <v>0</v>
      </c>
      <c r="AZ92" s="1777">
        <f>ROUND(('Звіт   9'!K89),1)</f>
        <v>0</v>
      </c>
      <c r="BA92" s="1553" t="str">
        <f>IF('Звіт   4,5,6'!E39=0,"Дані не введено",IF(AND(AX92&gt;=0,AY92=0,BA93=0),"ПРАВДА",IF(AND(AX92&lt;=30,AY92&lt;=100,AZ92&lt;=100,BA93=0),"ПРАВДА",IF(AND(AX92&gt;30,AX92&lt;=60,AY92&lt;=150,AZ92&lt;=150,BA93=0),"ПРАВДА",IF(AND(AX92&gt;60,AX92&lt;=100,AY92&lt;=300,AZ92&lt;=300,BA93=0),"ПРАВДА",IF(AND(AX92&gt;100,AY92&lt;=500,AZ92&lt;=500,BA93=0),"ПРАВДА",IF(BA93=1,"ПРАВДА","ПОМИЛКА")))))))</f>
        <v>ПРАВДА</v>
      </c>
      <c r="BB92" s="1928">
        <f>ROUND(('Звіт   9'!H58+'Звіт   9'!K58),1)</f>
        <v>0</v>
      </c>
    </row>
    <row r="93" spans="1:56" s="1456" customFormat="1" ht="81.75" customHeight="1" thickBot="1" x14ac:dyDescent="0.35">
      <c r="A93" s="1454"/>
      <c r="B93" s="1929"/>
      <c r="C93" s="1930"/>
      <c r="D93" s="1929"/>
      <c r="E93" s="1929"/>
      <c r="F93" s="1455"/>
      <c r="G93" s="2003" t="s">
        <v>1709</v>
      </c>
      <c r="H93" s="2004"/>
      <c r="I93" s="2004"/>
      <c r="J93" s="2004"/>
      <c r="K93" s="2004"/>
      <c r="L93" s="2004"/>
      <c r="M93" s="2004"/>
      <c r="N93" s="2005"/>
      <c r="O93" s="2003" t="s">
        <v>1710</v>
      </c>
      <c r="P93" s="2004"/>
      <c r="Q93" s="2004"/>
      <c r="R93" s="2004"/>
      <c r="S93" s="2004"/>
      <c r="T93" s="2005"/>
      <c r="U93" s="2003" t="s">
        <v>1712</v>
      </c>
      <c r="V93" s="2004"/>
      <c r="W93" s="2004"/>
      <c r="X93" s="2004"/>
      <c r="Y93" s="2004"/>
      <c r="Z93" s="2004"/>
      <c r="AA93" s="2005"/>
      <c r="AB93" s="1931" t="s">
        <v>1773</v>
      </c>
      <c r="AC93" s="2024" t="s">
        <v>1780</v>
      </c>
      <c r="AD93" s="2025"/>
      <c r="AE93" s="2025"/>
      <c r="AF93" s="2025"/>
      <c r="AG93" s="2025"/>
      <c r="AH93" s="2025"/>
      <c r="AI93" s="2026"/>
      <c r="AJ93" s="1932"/>
      <c r="AK93" s="2030" t="s">
        <v>1824</v>
      </c>
      <c r="AL93" s="2031"/>
      <c r="AM93" s="2031"/>
      <c r="AN93" s="2031"/>
      <c r="AO93" s="2031"/>
      <c r="AP93" s="2032"/>
      <c r="AQ93" s="1932"/>
      <c r="AR93" s="1932"/>
      <c r="AS93" s="1933"/>
      <c r="AT93" s="1933"/>
      <c r="AU93" s="1934"/>
      <c r="AV93" s="1934"/>
      <c r="AW93" s="1934"/>
      <c r="AX93" s="1934"/>
      <c r="AY93" s="1934"/>
      <c r="AZ93" s="1934"/>
      <c r="BA93" s="1935"/>
      <c r="BB93" s="1934"/>
    </row>
    <row r="94" spans="1:56" ht="174" customHeight="1" x14ac:dyDescent="0.25">
      <c r="A94" s="262"/>
      <c r="B94" s="2015">
        <v>39</v>
      </c>
      <c r="C94" s="2100" t="s">
        <v>1825</v>
      </c>
      <c r="D94" s="2036" t="s">
        <v>343</v>
      </c>
      <c r="E94" s="2007" t="s">
        <v>349</v>
      </c>
      <c r="F94" s="2072" t="str">
        <f>IF('Звіт   4,5,6'!E39=0,"Дані не введено",IF(AND(J95&gt;=0,N95&gt;=0,Q95&gt;=0,T95&gt;=0,'Звіт   9'!H24=0,'Звіт   9'!K24=0,X95="ПРАВДА",AO95&gt;=0,AP95&gt;=0),"ПРАВДА","ПОМИЛКА"))</f>
        <v>ПРАВДА</v>
      </c>
      <c r="G94" s="1774" t="s">
        <v>1644</v>
      </c>
      <c r="H94" s="1774" t="s">
        <v>1646</v>
      </c>
      <c r="I94" s="1774" t="s">
        <v>1821</v>
      </c>
      <c r="J94" s="1708" t="s">
        <v>535</v>
      </c>
      <c r="K94" s="1774" t="s">
        <v>1645</v>
      </c>
      <c r="L94" s="1774" t="s">
        <v>1646</v>
      </c>
      <c r="M94" s="1774" t="str">
        <f>I94</f>
        <v>у тому числі за медичні та немедичні послуги за кошти фізичних і юридичних осіб, за страхові виплати</v>
      </c>
      <c r="N94" s="1708" t="s">
        <v>535</v>
      </c>
      <c r="O94" s="1774" t="s">
        <v>1647</v>
      </c>
      <c r="P94" s="1774" t="s">
        <v>1649</v>
      </c>
      <c r="Q94" s="1708" t="s">
        <v>535</v>
      </c>
      <c r="R94" s="1774" t="s">
        <v>1648</v>
      </c>
      <c r="S94" s="1774" t="str">
        <f>P94</f>
        <v>сума  рядків «розрахунки з держaвними цільовими фондами»; «заборгованість бюджету з цільового фінансування (Дт 37 ЗБЦФ Кт 48) »; «заборгованість бюджету  для компенсації витрат (збитків)  (Дт 37 ЗБКВ Кт 719) (п.19 ПСБО 15) (ЗБКВ)»</v>
      </c>
      <c r="T94" s="1708" t="str">
        <f>Q94</f>
        <v>відхилення</v>
      </c>
      <c r="U94" s="1936" t="s">
        <v>1711</v>
      </c>
      <c r="V94" s="1936" t="s">
        <v>1707</v>
      </c>
      <c r="W94" s="1936" t="s">
        <v>1708</v>
      </c>
      <c r="X94" s="2023"/>
      <c r="Y94" s="2023"/>
      <c r="Z94" s="2023"/>
      <c r="AA94" s="2023"/>
      <c r="AB94" s="1936" t="s">
        <v>1774</v>
      </c>
      <c r="AC94" s="1936" t="s">
        <v>1711</v>
      </c>
      <c r="AD94" s="1936" t="s">
        <v>1781</v>
      </c>
      <c r="AE94" s="1936" t="s">
        <v>1782</v>
      </c>
      <c r="AF94" s="2023"/>
      <c r="AG94" s="2023"/>
      <c r="AH94" s="2023"/>
      <c r="AI94" s="2023"/>
      <c r="AJ94" s="1937">
        <v>0</v>
      </c>
      <c r="AK94" s="1936" t="s">
        <v>1826</v>
      </c>
      <c r="AL94" s="1936" t="s">
        <v>1828</v>
      </c>
      <c r="AM94" s="1936" t="s">
        <v>1827</v>
      </c>
      <c r="AN94" s="1936" t="s">
        <v>1829</v>
      </c>
      <c r="AO94" s="1708" t="s">
        <v>1830</v>
      </c>
      <c r="AP94" s="1705" t="s">
        <v>1830</v>
      </c>
      <c r="AQ94" s="1658"/>
      <c r="AR94" s="1658"/>
      <c r="AS94" s="1658"/>
      <c r="AT94" s="1658"/>
      <c r="AU94" s="1658"/>
      <c r="AV94" s="1658"/>
      <c r="AW94" s="1658"/>
      <c r="AX94" s="1658"/>
      <c r="AY94" s="1658"/>
      <c r="AZ94" s="1658"/>
      <c r="BA94" s="1658"/>
      <c r="BB94" s="1658"/>
    </row>
    <row r="95" spans="1:56" ht="61.5" customHeight="1" thickBot="1" x14ac:dyDescent="0.3">
      <c r="A95" s="262"/>
      <c r="B95" s="2099"/>
      <c r="C95" s="2101"/>
      <c r="D95" s="2082"/>
      <c r="E95" s="2102"/>
      <c r="F95" s="2076"/>
      <c r="G95" s="1924">
        <f>ROUND(('Звіт   9'!H29),1)</f>
        <v>0</v>
      </c>
      <c r="H95" s="1924">
        <f>ROUND(('Звіт   9'!H30),1)</f>
        <v>0</v>
      </c>
      <c r="I95" s="1924">
        <f>ROUND(('Звіт   9'!H31),1)</f>
        <v>0</v>
      </c>
      <c r="J95" s="1450">
        <f>ROUND((G95-H95-I95),1)</f>
        <v>0</v>
      </c>
      <c r="K95" s="1924">
        <f>ROUND(('Звіт   9'!K29),1)</f>
        <v>0</v>
      </c>
      <c r="L95" s="1924">
        <f>ROUND(('Звіт   9'!K30),1)</f>
        <v>0</v>
      </c>
      <c r="M95" s="1924">
        <f>ROUND(('Звіт   9'!K31),1)</f>
        <v>0</v>
      </c>
      <c r="N95" s="1450">
        <f>ROUND((K95-L95-M95),1)</f>
        <v>0</v>
      </c>
      <c r="O95" s="1924">
        <f>ROUND(('Звіт   9'!H36),1)</f>
        <v>495.8</v>
      </c>
      <c r="P95" s="1924">
        <f>ROUND(('Звіт   9'!H37+'Звіт   9'!H38+'Звіт   9'!H39),1)</f>
        <v>495.8</v>
      </c>
      <c r="Q95" s="662">
        <f>ROUND((O95-P95),1)</f>
        <v>0</v>
      </c>
      <c r="R95" s="1777">
        <f>ROUND(('Звіт   9'!K36),1)</f>
        <v>379.2</v>
      </c>
      <c r="S95" s="1777">
        <f>ROUND(('Звіт   9'!K37+'Звіт   9'!K38+'Звіт   9'!K39),1)</f>
        <v>379.2</v>
      </c>
      <c r="T95" s="662">
        <f>ROUND((R95-S95),1)</f>
        <v>0</v>
      </c>
      <c r="U95" s="1938">
        <f>ROUND(('Звіт 1,2,3'!G19/1000000),1)</f>
        <v>27.1</v>
      </c>
      <c r="V95" s="1777">
        <f>ROUND(('Звіт   9'!H42),1)</f>
        <v>4.7</v>
      </c>
      <c r="W95" s="1777">
        <f>ROUND(('Звіт   9'!K42),1)</f>
        <v>4.7</v>
      </c>
      <c r="X95" s="2033" t="str">
        <f>IF('Звіт   4,5,6'!E39=0,"Дані не введено",IF(AND(U95&gt;=0,V95=0,W95=0),"ПРАВДА",IF(AND(U95&lt;=30,V95&lt;=40,W95&lt;=40,AA96=0),"ПРАВДА",IF(AND(U95&gt;30,U95&lt;=60,V95&lt;=50,W95&lt;=50,AA96=0),"ПРАВДА",IF(AND(U95&gt;60,U95&lt;=100,V95&lt;=70,W95&lt;=70,AA96=0),"ПРАВДА",IF(AND(U95&gt;100,V95&lt;=100,W95&lt;=100,AA96=0),"ПРАВДА",IF(AA96=1,"ПРАВДА","ПОМИЛКА")))))))</f>
        <v>ПРАВДА</v>
      </c>
      <c r="Y95" s="2033"/>
      <c r="Z95" s="2033"/>
      <c r="AA95" s="2033"/>
      <c r="AB95" s="662">
        <f>ROUND(('Звіт   9'!H24+'Звіт   9'!K24),1)</f>
        <v>0</v>
      </c>
      <c r="AC95" s="1938">
        <f>ROUND(('Звіт 1,2,3'!G19/1000000),1)</f>
        <v>27.1</v>
      </c>
      <c r="AD95" s="1777">
        <f>ROUND(('Звіт   9'!H43),1)</f>
        <v>0</v>
      </c>
      <c r="AE95" s="1777">
        <f>ROUND(('Звіт   9'!K43),1)</f>
        <v>0</v>
      </c>
      <c r="AF95" s="2033" t="str">
        <f>IF('Звіт   4,5,6'!E39=0,"Дані не введено",IF(AND(AC95&gt;=0,AD95=0,AE95=0),"ПРАВДА",IF(AND(AC95&lt;=30,AD95&lt;=100,AE95&lt;=100,AJ94=0),"ПРАВДА",IF(AND(AC95&gt;30,AC95&lt;=60,AD95&lt;=200,AE95&lt;=200,AJ94=0),"ПРАВДА",IF(AND(AC95&gt;60,AC95&lt;=100,AD95&lt;=400,AE95&lt;=400,AJ94=0),"ПРАВДА",IF(AND(AC95&gt;100,AD95&lt;=500,AE95&lt;=500,AJ94=0),"ПРАВДА",IF(AJ94=1,"ПРАВДА","ПОМИЛКА")))))))</f>
        <v>ПРАВДА</v>
      </c>
      <c r="AG95" s="2033"/>
      <c r="AH95" s="2033"/>
      <c r="AI95" s="2033"/>
      <c r="AJ95" s="1939"/>
      <c r="AK95" s="1777">
        <f>ROUND(('Звіт   9'!H38),1)</f>
        <v>0</v>
      </c>
      <c r="AL95" s="1777">
        <f>ROUND(('Звіт   9'!H74),1)</f>
        <v>1038.0999999999999</v>
      </c>
      <c r="AM95" s="1777">
        <f>ROUND(('Звіт   9'!K38),1)</f>
        <v>0</v>
      </c>
      <c r="AN95" s="1777">
        <f>ROUND(('Звіт   9'!K74),1)</f>
        <v>515.1</v>
      </c>
      <c r="AO95" s="662">
        <f>ROUND((AL95-AK95),1)</f>
        <v>1038.0999999999999</v>
      </c>
      <c r="AP95" s="674">
        <f>ROUND((AN95-AM95),1)</f>
        <v>515.1</v>
      </c>
      <c r="AQ95" s="1658"/>
      <c r="AR95" s="1658"/>
      <c r="AS95" s="1658"/>
      <c r="AT95" s="1658"/>
      <c r="AU95" s="1658"/>
      <c r="AV95" s="1658"/>
      <c r="AW95" s="1658"/>
      <c r="AX95" s="1658"/>
      <c r="AY95" s="1658"/>
      <c r="AZ95" s="1658"/>
      <c r="BA95" s="1658"/>
      <c r="BB95" s="1658"/>
    </row>
    <row r="96" spans="1:56" s="1453" customFormat="1" ht="139.5" customHeight="1" x14ac:dyDescent="0.25">
      <c r="A96" s="1452"/>
      <c r="B96" s="2015">
        <v>40</v>
      </c>
      <c r="C96" s="2161" t="s">
        <v>1839</v>
      </c>
      <c r="D96" s="2108" t="s">
        <v>441</v>
      </c>
      <c r="E96" s="2007" t="s">
        <v>349</v>
      </c>
      <c r="F96" s="2072" t="str">
        <f>IF('Звіт   4,5,6'!E39=0,"Дані не введено",IF(AND((L97-P97)&gt;=-10,(L97-P97)&lt;=10,(G97-K97)&gt;=-10,(G97-K97)&lt;=10),"ПРАВДА","Увага"))</f>
        <v>Увага</v>
      </c>
      <c r="G96" s="1940" t="s">
        <v>1748</v>
      </c>
      <c r="H96" s="1941" t="s">
        <v>1819</v>
      </c>
      <c r="I96" s="1941" t="s">
        <v>1749</v>
      </c>
      <c r="J96" s="1942" t="s">
        <v>1756</v>
      </c>
      <c r="K96" s="1943" t="s">
        <v>1811</v>
      </c>
      <c r="L96" s="1940" t="s">
        <v>1744</v>
      </c>
      <c r="M96" s="1941" t="s">
        <v>1820</v>
      </c>
      <c r="N96" s="1941" t="s">
        <v>1745</v>
      </c>
      <c r="O96" s="1942" t="s">
        <v>1757</v>
      </c>
      <c r="P96" s="1944" t="s">
        <v>1810</v>
      </c>
      <c r="Q96" s="1945"/>
      <c r="R96" s="1945"/>
      <c r="S96" s="1932"/>
      <c r="T96" s="1932"/>
      <c r="U96" s="1932"/>
      <c r="V96" s="1455"/>
      <c r="W96" s="1455"/>
      <c r="X96" s="1455"/>
      <c r="Y96" s="1455"/>
      <c r="Z96" s="1945"/>
      <c r="AA96" s="1824"/>
      <c r="AB96" s="1946"/>
      <c r="AC96" s="1946"/>
      <c r="AD96" s="1945"/>
      <c r="AE96" s="1945"/>
      <c r="AF96" s="1945"/>
      <c r="AG96" s="1945"/>
      <c r="AH96" s="1945"/>
      <c r="AI96" s="1945"/>
      <c r="AJ96" s="1945"/>
      <c r="AK96" s="1945"/>
      <c r="AL96" s="1945"/>
      <c r="AM96" s="1945"/>
      <c r="AN96" s="1945"/>
      <c r="AO96" s="1945"/>
      <c r="AP96" s="1945"/>
      <c r="AQ96" s="1945"/>
      <c r="AR96" s="1945"/>
      <c r="AS96" s="1945"/>
      <c r="AT96" s="1945"/>
      <c r="AU96" s="1945"/>
      <c r="AV96" s="1945"/>
      <c r="AW96" s="1945"/>
      <c r="AX96" s="1945"/>
      <c r="AY96" s="1945"/>
      <c r="AZ96" s="1945"/>
      <c r="BA96" s="1945"/>
      <c r="BB96" s="1945"/>
    </row>
    <row r="97" spans="1:54" s="1453" customFormat="1" ht="37.5" customHeight="1" thickBot="1" x14ac:dyDescent="0.3">
      <c r="A97" s="1452"/>
      <c r="B97" s="2061"/>
      <c r="C97" s="2162"/>
      <c r="D97" s="2109"/>
      <c r="E97" s="2038"/>
      <c r="F97" s="2065"/>
      <c r="G97" s="1801">
        <f>ROUND(('Звіт   9'!H56),1)</f>
        <v>4517.6000000000004</v>
      </c>
      <c r="H97" s="1777">
        <f>'Звіт   9'!H29+'Звіт   9'!H33+'Звіт   9'!H34+'Звіт   9'!H36+'Звіт   9'!H40+'Звіт   9'!H41+'Звіт   9'!H42+'Звіт   9'!H43</f>
        <v>4413.0999999999995</v>
      </c>
      <c r="I97" s="1777">
        <f>'Звіт   9'!H68+'Звіт   9'!H71+'Звіт   9'!H73+'Звіт   9'!H74+'Звіт   9'!H75+'Звіт   9'!H77+'Звіт   9'!H78+'Звіт   9'!H82+'Звіт   9'!H85-'Звіт   9'!H85*('Звіт   4,5,6'!O39*100/'Звіт   4,5,6'!E39)+'Звіт   9'!H88+'Звіт   9'!H89</f>
        <v>1251.9000000000001</v>
      </c>
      <c r="J97" s="1777">
        <f>('Звіт 10, 11,12,13,14'!L10+'Звіт 10, 11,12,13,14'!L17+'Звіт 10, 11,12,13,14'!L19+'Звіт 10, 11,12,13,14'!L26)/1000</f>
        <v>1582.412</v>
      </c>
      <c r="K97" s="662">
        <f>H97+J97-I97</f>
        <v>4743.6119999999992</v>
      </c>
      <c r="L97" s="1801">
        <f>ROUND(('Звіт   9'!K56),1)</f>
        <v>-5517.2</v>
      </c>
      <c r="M97" s="1777">
        <f>'Звіт   9'!$K$29+'Звіт   9'!$K$33+'Звіт   9'!$K$34+'Звіт   9'!$K$36+'Звіт   9'!$K$40+'Звіт   9'!$K$41+'Звіт   9'!$K$42+'Звіт   9'!$K$43</f>
        <v>1199.4000000000001</v>
      </c>
      <c r="N97" s="1777">
        <f>'Звіт   9'!$K$71+'Звіт   9'!$K$73+'Звіт   9'!$K$74+'Звіт   9'!$K$75+'Звіт   9'!$K$77+'Звіт   9'!$K$78+'Звіт   9'!$K$82+'Звіт   9'!$K$85-'Звіт   9'!$K$85*('Звіт   4,5,6'!O39*100/'Звіт   4,5,6'!E39)+'Звіт   9'!$K$88+'Звіт   9'!$K$89+'Звіт   9'!K68</f>
        <v>7537.7</v>
      </c>
      <c r="O97" s="1777">
        <f>('Звіт 10, 11,12,13,14'!AF10+'Звіт 10, 11,12,13,14'!AF17+'Звіт 10, 11,12,13,14'!AF19+'Звіт 10, 11,12,13,14'!AF26-'Звіт 10, 11,12,13,14'!X21)/1000</f>
        <v>1047.066</v>
      </c>
      <c r="P97" s="1778">
        <f>M97+O97-N97</f>
        <v>-5291.2339999999995</v>
      </c>
      <c r="Q97" s="1945"/>
      <c r="R97" s="1945"/>
      <c r="S97" s="1932"/>
      <c r="T97" s="1932"/>
      <c r="U97" s="1932"/>
      <c r="V97" s="1455"/>
      <c r="W97" s="1455"/>
      <c r="X97" s="1455"/>
      <c r="Y97" s="1455"/>
      <c r="Z97" s="1945"/>
      <c r="AA97" s="1946"/>
      <c r="AB97" s="1946"/>
      <c r="AC97" s="1946"/>
      <c r="AD97" s="1945"/>
      <c r="AE97" s="1945"/>
      <c r="AF97" s="1945"/>
      <c r="AG97" s="1945"/>
      <c r="AH97" s="1945"/>
      <c r="AI97" s="1945"/>
      <c r="AJ97" s="1945"/>
      <c r="AK97" s="1945"/>
      <c r="AL97" s="1945"/>
      <c r="AM97" s="1945"/>
      <c r="AN97" s="1945"/>
      <c r="AO97" s="1945"/>
      <c r="AP97" s="1945"/>
      <c r="AQ97" s="1945"/>
      <c r="AR97" s="1945"/>
      <c r="AS97" s="1945"/>
      <c r="AT97" s="1945"/>
      <c r="AU97" s="1945"/>
      <c r="AV97" s="1945"/>
      <c r="AW97" s="1945"/>
      <c r="AX97" s="1945"/>
      <c r="AY97" s="1945"/>
      <c r="AZ97" s="1945"/>
      <c r="BA97" s="1945"/>
      <c r="BB97" s="1945"/>
    </row>
    <row r="98" spans="1:54" ht="46.15" customHeight="1" x14ac:dyDescent="0.3">
      <c r="A98" s="262"/>
      <c r="B98" s="1947">
        <v>41</v>
      </c>
      <c r="C98" s="2097" t="s">
        <v>659</v>
      </c>
      <c r="D98" s="2081" t="s">
        <v>343</v>
      </c>
      <c r="E98" s="2098" t="s">
        <v>349</v>
      </c>
      <c r="F98" s="2083" t="str">
        <f>IF('Звіт   4,5,6'!E39=0,"Дані не введено",IF(AND(G99=0,H99=0),"ПРАВДА","ПОМИЛКА"))</f>
        <v>ПРАВДА</v>
      </c>
      <c r="G98" s="1718" t="s">
        <v>660</v>
      </c>
      <c r="H98" s="1861" t="s">
        <v>661</v>
      </c>
      <c r="I98" s="1678"/>
      <c r="J98" s="1701"/>
      <c r="K98" s="1948">
        <f>K97/G97</f>
        <v>1.050029219054365</v>
      </c>
      <c r="L98" s="1949"/>
      <c r="M98" s="1673"/>
      <c r="N98" s="1673"/>
      <c r="O98" s="1659"/>
      <c r="P98" s="1948">
        <f>P97/L97</f>
        <v>0.95904335532516483</v>
      </c>
      <c r="Q98" s="1658"/>
      <c r="R98" s="1658"/>
      <c r="S98" s="1659"/>
      <c r="T98" s="1659"/>
      <c r="U98" s="1659"/>
      <c r="V98" s="1659"/>
      <c r="W98" s="1659"/>
      <c r="X98" s="1659"/>
      <c r="Y98" s="1659"/>
      <c r="Z98" s="1659"/>
      <c r="AA98" s="1659"/>
      <c r="AB98" s="1659"/>
      <c r="AC98" s="1659"/>
      <c r="AD98" s="1658"/>
      <c r="AE98" s="1658"/>
      <c r="AF98" s="1658"/>
      <c r="AG98" s="1658"/>
      <c r="AH98" s="1658"/>
      <c r="AI98" s="1658"/>
      <c r="AJ98" s="1658"/>
      <c r="AK98" s="1658"/>
      <c r="AL98" s="1658"/>
      <c r="AM98" s="1658"/>
      <c r="AN98" s="1658"/>
      <c r="AO98" s="1658"/>
      <c r="AP98" s="1658"/>
      <c r="AQ98" s="1658"/>
      <c r="AR98" s="1658"/>
      <c r="AS98" s="1658"/>
      <c r="AT98" s="1658"/>
      <c r="AU98" s="1658"/>
      <c r="AV98" s="1658"/>
      <c r="AW98" s="1658"/>
      <c r="AX98" s="1658"/>
      <c r="AY98" s="1658"/>
      <c r="AZ98" s="1658"/>
      <c r="BA98" s="1658"/>
      <c r="BB98" s="1658"/>
    </row>
    <row r="99" spans="1:54" ht="46.15" customHeight="1" thickBot="1" x14ac:dyDescent="0.35">
      <c r="A99" s="262"/>
      <c r="B99" s="1950"/>
      <c r="C99" s="2094"/>
      <c r="D99" s="2037"/>
      <c r="E99" s="2038"/>
      <c r="F99" s="2065"/>
      <c r="G99" s="1710">
        <f>'Звіт   9'!H55</f>
        <v>0</v>
      </c>
      <c r="H99" s="1951">
        <f>'Звіт   9'!K55</f>
        <v>0</v>
      </c>
      <c r="I99" s="1678"/>
      <c r="J99" s="1701"/>
      <c r="K99" s="1701"/>
      <c r="L99" s="1952"/>
      <c r="M99" s="1701"/>
      <c r="N99" s="1673"/>
      <c r="O99" s="1673"/>
      <c r="P99" s="1659"/>
      <c r="Q99" s="1659"/>
      <c r="R99" s="1659"/>
      <c r="S99" s="1659"/>
      <c r="T99" s="1659"/>
      <c r="U99" s="1659"/>
      <c r="V99" s="1659"/>
      <c r="W99" s="1659"/>
      <c r="X99" s="1659"/>
      <c r="Y99" s="1659"/>
      <c r="Z99" s="1659"/>
      <c r="AA99" s="1659"/>
      <c r="AB99" s="1659"/>
      <c r="AC99" s="1659"/>
      <c r="AD99" s="1658"/>
      <c r="AE99" s="1658"/>
      <c r="AF99" s="1658"/>
      <c r="AG99" s="1658"/>
      <c r="AH99" s="1658"/>
      <c r="AI99" s="1658"/>
      <c r="AJ99" s="1658"/>
      <c r="AK99" s="1658"/>
      <c r="AL99" s="1658"/>
      <c r="AM99" s="1658"/>
      <c r="AN99" s="1658"/>
      <c r="AO99" s="1658"/>
      <c r="AP99" s="1658"/>
      <c r="AQ99" s="1658"/>
      <c r="AR99" s="1658"/>
      <c r="AS99" s="1658"/>
      <c r="AT99" s="1658"/>
      <c r="AU99" s="1658"/>
      <c r="AV99" s="1658"/>
      <c r="AW99" s="1658"/>
      <c r="AX99" s="1658"/>
      <c r="AY99" s="1658"/>
      <c r="AZ99" s="1658"/>
      <c r="BA99" s="1658"/>
      <c r="BB99" s="1658"/>
    </row>
    <row r="100" spans="1:54" ht="46.15" customHeight="1" x14ac:dyDescent="0.3">
      <c r="A100" s="262"/>
      <c r="B100" s="1953">
        <v>42</v>
      </c>
      <c r="C100" s="2093" t="s">
        <v>662</v>
      </c>
      <c r="D100" s="2036" t="s">
        <v>343</v>
      </c>
      <c r="E100" s="2007" t="s">
        <v>349</v>
      </c>
      <c r="F100" s="2072" t="str">
        <f>IF('Звіт   4,5,6'!E39=0,"Дані не введено",IF(AND(G101=0,H101=0),"ПРАВДА","ПОМИЛКА"))</f>
        <v>ПРАВДА</v>
      </c>
      <c r="G100" s="1686" t="s">
        <v>663</v>
      </c>
      <c r="H100" s="1954" t="s">
        <v>664</v>
      </c>
      <c r="I100" s="1678"/>
      <c r="J100" s="1701"/>
      <c r="K100" s="1701"/>
      <c r="L100" s="1952"/>
      <c r="M100" s="1701"/>
      <c r="N100" s="1673"/>
      <c r="O100" s="1673"/>
      <c r="P100" s="1659"/>
      <c r="Q100" s="1659"/>
      <c r="R100" s="1659"/>
      <c r="S100" s="1659"/>
      <c r="T100" s="1659"/>
      <c r="U100" s="1659"/>
      <c r="V100" s="1673"/>
      <c r="W100" s="1673"/>
      <c r="X100" s="1673"/>
      <c r="Y100" s="1673"/>
      <c r="Z100" s="1659"/>
      <c r="AA100" s="1659"/>
      <c r="AB100" s="1659"/>
      <c r="AC100" s="1659"/>
      <c r="AD100" s="1658"/>
      <c r="AE100" s="1658"/>
      <c r="AF100" s="1658"/>
      <c r="AG100" s="1658"/>
      <c r="AH100" s="1658"/>
      <c r="AI100" s="1658"/>
      <c r="AJ100" s="1658"/>
      <c r="AK100" s="1658"/>
      <c r="AL100" s="1658"/>
      <c r="AM100" s="1658"/>
      <c r="AN100" s="1658"/>
      <c r="AO100" s="1658"/>
      <c r="AP100" s="1658"/>
      <c r="AQ100" s="1658"/>
      <c r="AR100" s="1658"/>
      <c r="AS100" s="1658"/>
      <c r="AT100" s="1658"/>
      <c r="AU100" s="1658"/>
      <c r="AV100" s="1658"/>
      <c r="AW100" s="1658"/>
      <c r="AX100" s="1658"/>
      <c r="AY100" s="1658"/>
      <c r="AZ100" s="1658"/>
      <c r="BA100" s="1658"/>
      <c r="BB100" s="1658"/>
    </row>
    <row r="101" spans="1:54" ht="46.15" customHeight="1" thickBot="1" x14ac:dyDescent="0.35">
      <c r="A101" s="262"/>
      <c r="B101" s="1950"/>
      <c r="C101" s="2094"/>
      <c r="D101" s="2037"/>
      <c r="E101" s="2038"/>
      <c r="F101" s="2065"/>
      <c r="G101" s="1710">
        <f>'Звіт   9'!H61</f>
        <v>0</v>
      </c>
      <c r="H101" s="1951">
        <f>'Звіт   9'!K61</f>
        <v>0</v>
      </c>
      <c r="I101" s="1678"/>
      <c r="J101" s="1701"/>
      <c r="K101" s="1701"/>
      <c r="L101" s="1952"/>
      <c r="M101" s="1701"/>
      <c r="N101" s="1673"/>
      <c r="O101" s="1673"/>
      <c r="P101" s="1659"/>
      <c r="Q101" s="1659"/>
      <c r="R101" s="1659"/>
      <c r="S101" s="1659"/>
      <c r="T101" s="1659"/>
      <c r="U101" s="1659"/>
      <c r="V101" s="1673"/>
      <c r="W101" s="1673"/>
      <c r="X101" s="1673"/>
      <c r="Y101" s="1673"/>
      <c r="Z101" s="1659"/>
      <c r="AA101" s="1659"/>
      <c r="AB101" s="1659"/>
      <c r="AC101" s="1659"/>
      <c r="AD101" s="1658"/>
      <c r="AE101" s="1658"/>
      <c r="AF101" s="1658"/>
      <c r="AG101" s="1658"/>
      <c r="AH101" s="1658"/>
      <c r="AI101" s="1658"/>
      <c r="AJ101" s="1658"/>
      <c r="AK101" s="1658"/>
      <c r="AL101" s="1658"/>
      <c r="AM101" s="1658"/>
      <c r="AN101" s="1658"/>
      <c r="AO101" s="1658"/>
      <c r="AP101" s="1658"/>
      <c r="AQ101" s="1658"/>
      <c r="AR101" s="1658"/>
      <c r="AS101" s="1658"/>
      <c r="AT101" s="1658"/>
      <c r="AU101" s="1658"/>
      <c r="AV101" s="1658"/>
      <c r="AW101" s="1658"/>
      <c r="AX101" s="1658"/>
      <c r="AY101" s="1658"/>
      <c r="AZ101" s="1658"/>
      <c r="BA101" s="1658"/>
      <c r="BB101" s="1658"/>
    </row>
    <row r="102" spans="1:54" ht="46.15" customHeight="1" x14ac:dyDescent="0.3">
      <c r="A102" s="262"/>
      <c r="B102" s="1953">
        <v>43</v>
      </c>
      <c r="C102" s="2093" t="s">
        <v>665</v>
      </c>
      <c r="D102" s="2036" t="s">
        <v>343</v>
      </c>
      <c r="E102" s="2095" t="s">
        <v>351</v>
      </c>
      <c r="F102" s="2072" t="str">
        <f>IF('Звіт   4,5,6'!E39=0,"Дані не введено",IF(AND(G103=0,H103=0),"ПРАВДА", "ПОМИЛКА"))</f>
        <v>ПРАВДА</v>
      </c>
      <c r="G102" s="1686" t="s">
        <v>666</v>
      </c>
      <c r="H102" s="1954" t="s">
        <v>667</v>
      </c>
      <c r="I102" s="1678"/>
      <c r="J102" s="1701"/>
      <c r="K102" s="1701"/>
      <c r="L102" s="1952"/>
      <c r="M102" s="1701"/>
      <c r="N102" s="1673"/>
      <c r="O102" s="1673"/>
      <c r="P102" s="1659"/>
      <c r="Q102" s="1659"/>
      <c r="R102" s="1659"/>
      <c r="S102" s="1659"/>
      <c r="T102" s="1659"/>
      <c r="U102" s="1659"/>
      <c r="V102" s="1673"/>
      <c r="W102" s="1673"/>
      <c r="X102" s="1673"/>
      <c r="Y102" s="1673"/>
      <c r="Z102" s="1659"/>
      <c r="AA102" s="1659"/>
      <c r="AB102" s="1659"/>
      <c r="AC102" s="1659"/>
      <c r="AD102" s="1658"/>
      <c r="AE102" s="1658"/>
      <c r="AF102" s="1658"/>
      <c r="AG102" s="1658"/>
      <c r="AH102" s="1658"/>
      <c r="AI102" s="1658"/>
      <c r="AJ102" s="1658"/>
      <c r="AK102" s="1658"/>
      <c r="AL102" s="1658"/>
      <c r="AM102" s="1658"/>
      <c r="AN102" s="1658"/>
      <c r="AO102" s="1658"/>
      <c r="AP102" s="1658"/>
      <c r="AQ102" s="1658"/>
      <c r="AR102" s="1658"/>
      <c r="AS102" s="1658"/>
      <c r="AT102" s="1658"/>
      <c r="AU102" s="1658"/>
      <c r="AV102" s="1658"/>
      <c r="AW102" s="1658"/>
      <c r="AX102" s="1658"/>
      <c r="AY102" s="1658"/>
      <c r="AZ102" s="1658"/>
      <c r="BA102" s="1658"/>
      <c r="BB102" s="1658"/>
    </row>
    <row r="103" spans="1:54" ht="46.15" customHeight="1" thickBot="1" x14ac:dyDescent="0.35">
      <c r="A103" s="262"/>
      <c r="B103" s="1950"/>
      <c r="C103" s="2094"/>
      <c r="D103" s="2037"/>
      <c r="E103" s="2096"/>
      <c r="F103" s="2065"/>
      <c r="G103" s="1710">
        <f>'Звіт   9'!H62</f>
        <v>0</v>
      </c>
      <c r="H103" s="1951">
        <f>'Звіт   9'!K62</f>
        <v>0</v>
      </c>
      <c r="I103" s="1678"/>
      <c r="J103" s="1701"/>
      <c r="K103" s="1701"/>
      <c r="L103" s="1952"/>
      <c r="M103" s="1701"/>
      <c r="N103" s="1673"/>
      <c r="O103" s="1673"/>
      <c r="P103" s="1659"/>
      <c r="Q103" s="1659"/>
      <c r="R103" s="1659"/>
      <c r="S103" s="1659"/>
      <c r="T103" s="1659"/>
      <c r="U103" s="1659"/>
      <c r="V103" s="1673"/>
      <c r="W103" s="1673"/>
      <c r="X103" s="1673"/>
      <c r="Y103" s="1673"/>
      <c r="Z103" s="1659"/>
      <c r="AA103" s="1659"/>
      <c r="AB103" s="1659"/>
      <c r="AC103" s="1659"/>
      <c r="AD103" s="1658"/>
      <c r="AE103" s="1658"/>
      <c r="AF103" s="1658"/>
      <c r="AG103" s="1658"/>
      <c r="AH103" s="1658"/>
      <c r="AI103" s="1658"/>
      <c r="AJ103" s="1658"/>
      <c r="AK103" s="1658"/>
      <c r="AL103" s="1658"/>
      <c r="AM103" s="1658"/>
      <c r="AN103" s="1658"/>
      <c r="AO103" s="1658"/>
      <c r="AP103" s="1658"/>
      <c r="AQ103" s="1658"/>
      <c r="AR103" s="1658"/>
      <c r="AS103" s="1658"/>
      <c r="AT103" s="1658"/>
      <c r="AU103" s="1658"/>
      <c r="AV103" s="1658"/>
      <c r="AW103" s="1658"/>
      <c r="AX103" s="1658"/>
      <c r="AY103" s="1658"/>
      <c r="AZ103" s="1658"/>
      <c r="BA103" s="1658"/>
      <c r="BB103" s="1658"/>
    </row>
    <row r="104" spans="1:54" ht="46.15" customHeight="1" x14ac:dyDescent="0.3">
      <c r="A104" s="262"/>
      <c r="B104" s="1953">
        <v>44</v>
      </c>
      <c r="C104" s="2093" t="s">
        <v>668</v>
      </c>
      <c r="D104" s="2036" t="s">
        <v>343</v>
      </c>
      <c r="E104" s="2095" t="s">
        <v>351</v>
      </c>
      <c r="F104" s="2072" t="str">
        <f>IF('Звіт   4,5,6'!E39=0,"Дані не введено",IF(AND(G105=0,H105=0),"ПРАВДА", "ПОМИЛКА"))</f>
        <v>ПРАВДА</v>
      </c>
      <c r="G104" s="1686" t="s">
        <v>669</v>
      </c>
      <c r="H104" s="1954" t="s">
        <v>670</v>
      </c>
      <c r="I104" s="1678"/>
      <c r="J104" s="1701"/>
      <c r="K104" s="1701"/>
      <c r="L104" s="1701"/>
      <c r="M104" s="1701"/>
      <c r="N104" s="1673"/>
      <c r="O104" s="1673"/>
      <c r="P104" s="1659"/>
      <c r="Q104" s="1659"/>
      <c r="R104" s="1659"/>
      <c r="S104" s="1659"/>
      <c r="T104" s="1659"/>
      <c r="U104" s="1659"/>
      <c r="V104" s="1673"/>
      <c r="W104" s="1673"/>
      <c r="X104" s="1673"/>
      <c r="Y104" s="1673"/>
      <c r="Z104" s="1659"/>
      <c r="AA104" s="1659"/>
      <c r="AB104" s="1659"/>
      <c r="AC104" s="1659"/>
      <c r="AD104" s="1658"/>
      <c r="AE104" s="1658"/>
      <c r="AF104" s="1658"/>
      <c r="AG104" s="1658"/>
      <c r="AH104" s="1658"/>
      <c r="AI104" s="1658"/>
      <c r="AJ104" s="1658"/>
      <c r="AK104" s="1658"/>
      <c r="AL104" s="1658"/>
      <c r="AM104" s="1658"/>
      <c r="AN104" s="1658"/>
      <c r="AO104" s="1658"/>
      <c r="AP104" s="1658"/>
      <c r="AQ104" s="1658"/>
      <c r="AR104" s="1658"/>
      <c r="AS104" s="1658"/>
      <c r="AT104" s="1658"/>
      <c r="AU104" s="1658"/>
      <c r="AV104" s="1658"/>
      <c r="AW104" s="1658"/>
      <c r="AX104" s="1658"/>
      <c r="AY104" s="1658"/>
      <c r="AZ104" s="1658"/>
      <c r="BA104" s="1658"/>
      <c r="BB104" s="1658"/>
    </row>
    <row r="105" spans="1:54" ht="59.25" customHeight="1" thickBot="1" x14ac:dyDescent="0.35">
      <c r="A105" s="262"/>
      <c r="B105" s="1950"/>
      <c r="C105" s="2094"/>
      <c r="D105" s="2037"/>
      <c r="E105" s="2096"/>
      <c r="F105" s="2065"/>
      <c r="G105" s="1710">
        <f>'Звіт   9'!H63</f>
        <v>0</v>
      </c>
      <c r="H105" s="1951">
        <f>'Звіт   9'!K63</f>
        <v>0</v>
      </c>
      <c r="I105" s="1678"/>
      <c r="J105" s="1701"/>
      <c r="K105" s="1701"/>
      <c r="L105" s="1701"/>
      <c r="M105" s="1701"/>
      <c r="N105" s="1673"/>
      <c r="O105" s="1673"/>
      <c r="P105" s="1659"/>
      <c r="Q105" s="1659"/>
      <c r="R105" s="1659"/>
      <c r="S105" s="1659"/>
      <c r="T105" s="1659"/>
      <c r="U105" s="1659"/>
      <c r="V105" s="1673"/>
      <c r="W105" s="1673"/>
      <c r="X105" s="1673"/>
      <c r="Y105" s="1673"/>
      <c r="Z105" s="1659"/>
      <c r="AA105" s="1659"/>
      <c r="AB105" s="1659"/>
      <c r="AC105" s="1659"/>
      <c r="AD105" s="1658"/>
      <c r="AE105" s="1658"/>
      <c r="AF105" s="1658"/>
      <c r="AG105" s="1658"/>
      <c r="AH105" s="1658"/>
      <c r="AI105" s="1658"/>
      <c r="AJ105" s="1658"/>
      <c r="AK105" s="1658"/>
      <c r="AL105" s="1658"/>
      <c r="AM105" s="1658"/>
      <c r="AN105" s="1658"/>
      <c r="AO105" s="1658"/>
      <c r="AP105" s="1658"/>
      <c r="AQ105" s="1658"/>
      <c r="AR105" s="1658"/>
      <c r="AS105" s="1658"/>
      <c r="AT105" s="1658"/>
      <c r="AU105" s="1658"/>
      <c r="AV105" s="1658"/>
      <c r="AW105" s="1658"/>
      <c r="AX105" s="1658"/>
      <c r="AY105" s="1658"/>
      <c r="AZ105" s="1658"/>
      <c r="BA105" s="1658"/>
      <c r="BB105" s="1658"/>
    </row>
    <row r="106" spans="1:54" ht="46.15" customHeight="1" x14ac:dyDescent="0.3">
      <c r="A106" s="262"/>
      <c r="B106" s="1953">
        <v>45</v>
      </c>
      <c r="C106" s="2093" t="s">
        <v>671</v>
      </c>
      <c r="D106" s="2036" t="s">
        <v>343</v>
      </c>
      <c r="E106" s="2095" t="s">
        <v>351</v>
      </c>
      <c r="F106" s="2072" t="str">
        <f>IF('Звіт   4,5,6'!E39=0,"Дані не введено",IF(AND(G107=0,H107=0),"ПРАВДА", "ПОМИЛКА"))</f>
        <v>ПРАВДА</v>
      </c>
      <c r="G106" s="1704" t="s">
        <v>672</v>
      </c>
      <c r="H106" s="1740" t="s">
        <v>673</v>
      </c>
      <c r="I106" s="1678"/>
      <c r="J106" s="1701"/>
      <c r="K106" s="1701"/>
      <c r="L106" s="1701"/>
      <c r="M106" s="1701"/>
      <c r="N106" s="1673"/>
      <c r="O106" s="1673"/>
      <c r="P106" s="1659"/>
      <c r="Q106" s="1659"/>
      <c r="R106" s="1659"/>
      <c r="S106" s="1659"/>
      <c r="T106" s="1659"/>
      <c r="U106" s="1659"/>
      <c r="V106" s="1673"/>
      <c r="W106" s="1673"/>
      <c r="X106" s="1673"/>
      <c r="Y106" s="1673"/>
      <c r="Z106" s="1659"/>
      <c r="AA106" s="1659"/>
      <c r="AB106" s="1659"/>
      <c r="AC106" s="1659"/>
      <c r="AD106" s="1658"/>
      <c r="AE106" s="1658"/>
      <c r="AF106" s="1658"/>
      <c r="AG106" s="1658"/>
      <c r="AH106" s="1658"/>
      <c r="AI106" s="1658"/>
      <c r="AJ106" s="1658"/>
      <c r="AK106" s="1658"/>
      <c r="AL106" s="1658"/>
      <c r="AM106" s="1658"/>
      <c r="AN106" s="1658"/>
      <c r="AO106" s="1658"/>
      <c r="AP106" s="1658"/>
      <c r="AQ106" s="1658"/>
      <c r="AR106" s="1658"/>
      <c r="AS106" s="1658"/>
      <c r="AT106" s="1658"/>
      <c r="AU106" s="1658"/>
      <c r="AV106" s="1658"/>
      <c r="AW106" s="1658"/>
      <c r="AX106" s="1658"/>
      <c r="AY106" s="1658"/>
      <c r="AZ106" s="1658"/>
      <c r="BA106" s="1658"/>
      <c r="BB106" s="1658"/>
    </row>
    <row r="107" spans="1:54" ht="68.25" customHeight="1" thickBot="1" x14ac:dyDescent="0.35">
      <c r="A107" s="262"/>
      <c r="B107" s="1950"/>
      <c r="C107" s="2094"/>
      <c r="D107" s="2037"/>
      <c r="E107" s="2096"/>
      <c r="F107" s="2065"/>
      <c r="G107" s="1710">
        <f>'Звіт   9'!H64</f>
        <v>0</v>
      </c>
      <c r="H107" s="1951">
        <f>'Звіт   9'!K64</f>
        <v>0</v>
      </c>
      <c r="I107" s="1678"/>
      <c r="J107" s="1701"/>
      <c r="K107" s="1701"/>
      <c r="L107" s="1701"/>
      <c r="M107" s="1701"/>
      <c r="N107" s="1673"/>
      <c r="O107" s="1673"/>
      <c r="P107" s="1659"/>
      <c r="Q107" s="1659"/>
      <c r="R107" s="1659"/>
      <c r="S107" s="1659"/>
      <c r="T107" s="1659"/>
      <c r="U107" s="1659"/>
      <c r="V107" s="1673"/>
      <c r="W107" s="1673"/>
      <c r="X107" s="1673"/>
      <c r="Y107" s="1673"/>
      <c r="Z107" s="1659"/>
      <c r="AA107" s="1659"/>
      <c r="AB107" s="1659"/>
      <c r="AC107" s="1659"/>
      <c r="AD107" s="1658"/>
      <c r="AE107" s="1658"/>
      <c r="AF107" s="1658"/>
      <c r="AG107" s="1658"/>
      <c r="AH107" s="1658"/>
      <c r="AI107" s="1658"/>
      <c r="AJ107" s="1658"/>
      <c r="AK107" s="1658"/>
      <c r="AL107" s="1658"/>
      <c r="AM107" s="1658"/>
      <c r="AN107" s="1658"/>
      <c r="AO107" s="1658"/>
      <c r="AP107" s="1658"/>
      <c r="AQ107" s="1658"/>
      <c r="AR107" s="1658"/>
      <c r="AS107" s="1658"/>
      <c r="AT107" s="1658"/>
      <c r="AU107" s="1658"/>
      <c r="AV107" s="1658"/>
      <c r="AW107" s="1658"/>
      <c r="AX107" s="1658"/>
      <c r="AY107" s="1658"/>
      <c r="AZ107" s="1658"/>
      <c r="BA107" s="1658"/>
      <c r="BB107" s="1658"/>
    </row>
    <row r="108" spans="1:54" ht="46.15" customHeight="1" x14ac:dyDescent="0.3">
      <c r="A108" s="262"/>
      <c r="B108" s="1953">
        <v>46</v>
      </c>
      <c r="C108" s="2093" t="s">
        <v>674</v>
      </c>
      <c r="D108" s="2036" t="s">
        <v>343</v>
      </c>
      <c r="E108" s="2007" t="s">
        <v>349</v>
      </c>
      <c r="F108" s="2072" t="str">
        <f>IF('Звіт   4,5,6'!E39=0,"Дані не введено",IF((G109+H109)&gt;=77,"ПРАВДА","ПОМИЛКА"))</f>
        <v>ПРАВДА</v>
      </c>
      <c r="G108" s="1704" t="s">
        <v>675</v>
      </c>
      <c r="H108" s="1740" t="s">
        <v>676</v>
      </c>
      <c r="I108" s="1678"/>
      <c r="J108" s="1701"/>
      <c r="K108" s="1701"/>
      <c r="L108" s="1701"/>
      <c r="M108" s="1701"/>
      <c r="N108" s="1673"/>
      <c r="O108" s="1673"/>
      <c r="P108" s="1659"/>
      <c r="Q108" s="1659"/>
      <c r="R108" s="1659"/>
      <c r="S108" s="1659"/>
      <c r="T108" s="1659"/>
      <c r="U108" s="1659"/>
      <c r="V108" s="1673"/>
      <c r="W108" s="1673"/>
      <c r="X108" s="1673"/>
      <c r="Y108" s="1673"/>
      <c r="Z108" s="1659"/>
      <c r="AA108" s="1659"/>
      <c r="AB108" s="1659"/>
      <c r="AC108" s="1659"/>
      <c r="AD108" s="1658"/>
      <c r="AE108" s="1658"/>
      <c r="AF108" s="1658"/>
      <c r="AG108" s="1658"/>
      <c r="AH108" s="1658"/>
      <c r="AI108" s="1658"/>
      <c r="AJ108" s="1658"/>
      <c r="AK108" s="1658"/>
      <c r="AL108" s="1658"/>
      <c r="AM108" s="1658"/>
      <c r="AN108" s="1658"/>
      <c r="AO108" s="1658"/>
      <c r="AP108" s="1658"/>
      <c r="AQ108" s="1658"/>
      <c r="AR108" s="1658"/>
      <c r="AS108" s="1658"/>
      <c r="AT108" s="1658"/>
      <c r="AU108" s="1658"/>
      <c r="AV108" s="1658"/>
      <c r="AW108" s="1658"/>
      <c r="AX108" s="1658"/>
      <c r="AY108" s="1658"/>
      <c r="AZ108" s="1658"/>
      <c r="BA108" s="1658"/>
      <c r="BB108" s="1658"/>
    </row>
    <row r="109" spans="1:54" ht="27.75" customHeight="1" thickBot="1" x14ac:dyDescent="0.35">
      <c r="A109" s="262"/>
      <c r="B109" s="1950"/>
      <c r="C109" s="2094"/>
      <c r="D109" s="2037"/>
      <c r="E109" s="2038"/>
      <c r="F109" s="2065"/>
      <c r="G109" s="1955">
        <f>COUNTIF('Звіт   9'!J10:J46,"0")+COUNTIF('Звіт   9'!J10:J46,"")</f>
        <v>37</v>
      </c>
      <c r="H109" s="1956">
        <f>COUNTIF('Звіт   9'!J50:J92,"0")+COUNTIF('Звіт   9'!J50:J92,"")</f>
        <v>42</v>
      </c>
      <c r="I109" s="1673"/>
      <c r="J109" s="1673"/>
      <c r="K109" s="1701"/>
      <c r="L109" s="1701"/>
      <c r="M109" s="1701"/>
      <c r="N109" s="1673"/>
      <c r="O109" s="1673"/>
      <c r="P109" s="1659"/>
      <c r="Q109" s="1659"/>
      <c r="R109" s="1659"/>
      <c r="S109" s="1659"/>
      <c r="T109" s="1659"/>
      <c r="U109" s="1659"/>
      <c r="V109" s="1673"/>
      <c r="W109" s="1673"/>
      <c r="X109" s="1673"/>
      <c r="Y109" s="1673"/>
      <c r="Z109" s="1659"/>
      <c r="AA109" s="1659"/>
      <c r="AB109" s="1659"/>
      <c r="AC109" s="1659"/>
      <c r="AD109" s="1658"/>
      <c r="AE109" s="1658"/>
      <c r="AF109" s="1658"/>
      <c r="AG109" s="1658"/>
      <c r="AH109" s="1658"/>
      <c r="AI109" s="1658"/>
      <c r="AJ109" s="1658"/>
      <c r="AK109" s="1658"/>
      <c r="AL109" s="1658"/>
      <c r="AM109" s="1658"/>
      <c r="AN109" s="1658"/>
      <c r="AO109" s="1658"/>
      <c r="AP109" s="1658"/>
      <c r="AQ109" s="1658"/>
      <c r="AR109" s="1658"/>
      <c r="AS109" s="1658"/>
      <c r="AT109" s="1658"/>
      <c r="AU109" s="1658"/>
      <c r="AV109" s="1658"/>
      <c r="AW109" s="1658"/>
      <c r="AX109" s="1658"/>
      <c r="AY109" s="1658"/>
      <c r="AZ109" s="1658"/>
      <c r="BA109" s="1658"/>
      <c r="BB109" s="1658"/>
    </row>
    <row r="110" spans="1:54" ht="48.75" customHeight="1" x14ac:dyDescent="0.3">
      <c r="A110" s="262"/>
      <c r="B110" s="2066">
        <v>47</v>
      </c>
      <c r="C110" s="2093" t="s">
        <v>677</v>
      </c>
      <c r="D110" s="2036" t="s">
        <v>343</v>
      </c>
      <c r="E110" s="2007" t="s">
        <v>349</v>
      </c>
      <c r="F110" s="2072" t="str">
        <f>IF('Звіт   4,5,6'!E39=0,"Дані не введено",IF(OR(G111="ПОМИЛКА",H111="ПОМИЛКА"),"ПОМИЛКА","ПРАВДА"))</f>
        <v>ПРАВДА</v>
      </c>
      <c r="G110" s="1686" t="s">
        <v>387</v>
      </c>
      <c r="H110" s="1954" t="s">
        <v>428</v>
      </c>
      <c r="I110" s="1701"/>
      <c r="J110" s="1701"/>
      <c r="K110" s="1701"/>
      <c r="L110" s="1701"/>
      <c r="M110" s="1701"/>
      <c r="N110" s="1673"/>
      <c r="O110" s="1673"/>
      <c r="P110" s="1659"/>
      <c r="Q110" s="1659"/>
      <c r="R110" s="1659"/>
      <c r="S110" s="1659"/>
      <c r="T110" s="1659"/>
      <c r="U110" s="1659"/>
      <c r="V110" s="1673"/>
      <c r="W110" s="1673"/>
      <c r="X110" s="1673"/>
      <c r="Y110" s="1673"/>
      <c r="Z110" s="1659"/>
      <c r="AA110" s="1659"/>
      <c r="AB110" s="1659"/>
      <c r="AC110" s="1659"/>
      <c r="AD110" s="1658"/>
      <c r="AE110" s="1658"/>
      <c r="AF110" s="1658"/>
      <c r="AG110" s="1658"/>
      <c r="AH110" s="1658"/>
      <c r="AI110" s="1658"/>
      <c r="AJ110" s="1658"/>
      <c r="AK110" s="1658"/>
      <c r="AL110" s="1658"/>
      <c r="AM110" s="1658"/>
      <c r="AN110" s="1658"/>
      <c r="AO110" s="1658"/>
      <c r="AP110" s="1658"/>
      <c r="AQ110" s="1658"/>
      <c r="AR110" s="1658"/>
      <c r="AS110" s="1658"/>
      <c r="AT110" s="1658"/>
      <c r="AU110" s="1658"/>
      <c r="AV110" s="1658"/>
      <c r="AW110" s="1658"/>
      <c r="AX110" s="1658"/>
      <c r="AY110" s="1658"/>
      <c r="AZ110" s="1658"/>
      <c r="BA110" s="1658"/>
      <c r="BB110" s="1658"/>
    </row>
    <row r="111" spans="1:54" ht="46.15" customHeight="1" thickBot="1" x14ac:dyDescent="0.3">
      <c r="A111" s="262"/>
      <c r="B111" s="2067"/>
      <c r="C111" s="2094"/>
      <c r="D111" s="2037"/>
      <c r="E111" s="2038"/>
      <c r="F111" s="2065"/>
      <c r="G111" s="1646" t="str">
        <f>IF('Звіт   4,5,6'!E39=0,"Дані не введено",IF(OR(I111&gt;=1,J111&gt;=1,K111&gt;=1,L111&gt;=1,M111&gt;=1,N111&gt;=1,O111&gt;=1,P111&gt;=1,Q111&gt;=1),"ПОМИЛКА","ПРАВДА"))</f>
        <v>ПРАВДА</v>
      </c>
      <c r="H111" s="268" t="str">
        <f>IF('Звіт   4,5,6'!E39=0,"Дані не введено",IF(OR(R111&gt;=1,S111&gt;=1,T111&gt;=1,U111&gt;=1,V111&gt;=1,W111&gt;=1,X111&gt;=1,Y111&gt;=1,Z111&gt;=1),"ПОМИЛКА","ПРАВДА"))</f>
        <v>ПРАВДА</v>
      </c>
      <c r="I111" s="1877">
        <f>COUNTIF('Звіт   9'!H11,"&lt;0")</f>
        <v>0</v>
      </c>
      <c r="J111" s="1877">
        <f>COUNTIF('Звіт   9'!H13,"&lt;0")</f>
        <v>0</v>
      </c>
      <c r="K111" s="1877">
        <f>COUNTIF('Звіт   9'!H15,"&lt;0")</f>
        <v>0</v>
      </c>
      <c r="L111" s="1877">
        <f>COUNTIF('Звіт   9'!H17:H24,"&lt;0")</f>
        <v>0</v>
      </c>
      <c r="M111" s="1877">
        <f>COUNTIF('Звіт   9'!H27:H43,"&lt;0")</f>
        <v>0</v>
      </c>
      <c r="N111" s="1877">
        <f>COUNTIF('Звіт   9'!H50:H55,"&lt;0")</f>
        <v>0</v>
      </c>
      <c r="O111" s="1957">
        <f>COUNTIF('Звіт   9'!H61:H90,"&lt;0")</f>
        <v>0</v>
      </c>
      <c r="P111" s="1958"/>
      <c r="Q111" s="1959">
        <f>COUNTIF('Звіт   9'!H58,"&lt;0")</f>
        <v>0</v>
      </c>
      <c r="R111" s="1877">
        <f>COUNTIF('Звіт   9'!K11,"&lt;0")</f>
        <v>0</v>
      </c>
      <c r="S111" s="1877">
        <f>COUNTIF('Звіт   9'!K13,"&lt;0")</f>
        <v>0</v>
      </c>
      <c r="T111" s="1877">
        <f>COUNTIF('Звіт   9'!K15,"&lt;0")</f>
        <v>0</v>
      </c>
      <c r="U111" s="1877">
        <f>COUNTIF('Звіт   9'!K17:K24,"&lt;0")</f>
        <v>0</v>
      </c>
      <c r="V111" s="1877">
        <f>COUNTIF('Звіт   9'!K27:K43,"&lt;0")</f>
        <v>0</v>
      </c>
      <c r="W111" s="1877">
        <f>COUNTIF('Звіт   9'!K50:K55,"&lt;0")</f>
        <v>0</v>
      </c>
      <c r="X111" s="1957">
        <f>COUNTIF('Звіт   9'!K61:K90,"&lt;0")</f>
        <v>0</v>
      </c>
      <c r="Y111" s="1958"/>
      <c r="Z111" s="1959">
        <f>COUNTIF('Звіт   9'!K58,"&lt;0")</f>
        <v>0</v>
      </c>
      <c r="AA111" s="1659"/>
      <c r="AB111" s="1659"/>
      <c r="AC111" s="1659"/>
      <c r="AD111" s="1658"/>
      <c r="AE111" s="1658"/>
      <c r="AF111" s="1658"/>
      <c r="AG111" s="1658"/>
      <c r="AH111" s="1658"/>
      <c r="AI111" s="1658"/>
      <c r="AJ111" s="1658"/>
      <c r="AK111" s="1658"/>
      <c r="AL111" s="1658"/>
      <c r="AM111" s="1658"/>
      <c r="AN111" s="1658"/>
      <c r="AO111" s="1658"/>
      <c r="AP111" s="1658"/>
      <c r="AQ111" s="1658"/>
      <c r="AR111" s="1658"/>
      <c r="AS111" s="1658"/>
      <c r="AT111" s="1658"/>
      <c r="AU111" s="1658"/>
      <c r="AV111" s="1658"/>
      <c r="AW111" s="1658"/>
      <c r="AX111" s="1658"/>
      <c r="AY111" s="1658"/>
      <c r="AZ111" s="1658"/>
      <c r="BA111" s="1658"/>
      <c r="BB111" s="1658"/>
    </row>
    <row r="112" spans="1:54" ht="46.15" customHeight="1" x14ac:dyDescent="0.25">
      <c r="A112" s="262"/>
      <c r="B112" s="2066">
        <v>48</v>
      </c>
      <c r="C112" s="2093" t="s">
        <v>744</v>
      </c>
      <c r="D112" s="2036" t="s">
        <v>343</v>
      </c>
      <c r="E112" s="2007" t="s">
        <v>349</v>
      </c>
      <c r="F112" s="2083" t="str">
        <f>IF('Звіт   4,5,6'!E39=0,"Дані не введено",IF(AND(G113=0,H113=0),"ПРАВДА","ПОМИЛКА"))</f>
        <v>ПРАВДА</v>
      </c>
      <c r="G112" s="1911" t="s">
        <v>742</v>
      </c>
      <c r="H112" s="1960" t="s">
        <v>743</v>
      </c>
      <c r="I112" s="1877"/>
      <c r="J112" s="1877"/>
      <c r="K112" s="1877"/>
      <c r="L112" s="1877"/>
      <c r="M112" s="1877"/>
      <c r="N112" s="1877"/>
      <c r="O112" s="1957"/>
      <c r="P112" s="1958"/>
      <c r="Q112" s="1959"/>
      <c r="R112" s="1877"/>
      <c r="S112" s="1877"/>
      <c r="T112" s="1877"/>
      <c r="U112" s="1877"/>
      <c r="V112" s="1877"/>
      <c r="W112" s="1877"/>
      <c r="X112" s="1957"/>
      <c r="Y112" s="1958"/>
      <c r="Z112" s="1959"/>
      <c r="AA112" s="1659"/>
      <c r="AB112" s="1659"/>
      <c r="AC112" s="1659"/>
      <c r="AD112" s="1658"/>
      <c r="AE112" s="1658"/>
      <c r="AF112" s="1658"/>
      <c r="AG112" s="1658"/>
      <c r="AH112" s="1658"/>
      <c r="AI112" s="1658"/>
      <c r="AJ112" s="1658"/>
      <c r="AK112" s="1658"/>
      <c r="AL112" s="1658"/>
      <c r="AM112" s="1658"/>
      <c r="AN112" s="1658"/>
      <c r="AO112" s="1658"/>
      <c r="AP112" s="1658"/>
      <c r="AQ112" s="1658"/>
      <c r="AR112" s="1658"/>
      <c r="AS112" s="1658"/>
      <c r="AT112" s="1658"/>
      <c r="AU112" s="1658"/>
      <c r="AV112" s="1658"/>
      <c r="AW112" s="1658"/>
      <c r="AX112" s="1658"/>
      <c r="AY112" s="1658"/>
      <c r="AZ112" s="1658"/>
      <c r="BA112" s="1658"/>
      <c r="BB112" s="1658"/>
    </row>
    <row r="113" spans="1:54" ht="88.5" customHeight="1" thickBot="1" x14ac:dyDescent="0.3">
      <c r="A113" s="262"/>
      <c r="B113" s="2067"/>
      <c r="C113" s="2094"/>
      <c r="D113" s="2037"/>
      <c r="E113" s="2038"/>
      <c r="F113" s="2065"/>
      <c r="G113" s="1710">
        <f>'Звіт   9'!H21</f>
        <v>0</v>
      </c>
      <c r="H113" s="1951">
        <f>'Звіт   9'!K21</f>
        <v>0</v>
      </c>
      <c r="I113" s="1877"/>
      <c r="J113" s="1877"/>
      <c r="K113" s="1877"/>
      <c r="L113" s="1877"/>
      <c r="M113" s="1877"/>
      <c r="N113" s="1877"/>
      <c r="O113" s="1957"/>
      <c r="P113" s="1958"/>
      <c r="Q113" s="1959"/>
      <c r="R113" s="1877"/>
      <c r="S113" s="1877"/>
      <c r="T113" s="1877"/>
      <c r="U113" s="1877"/>
      <c r="V113" s="1877"/>
      <c r="W113" s="1877"/>
      <c r="X113" s="1957"/>
      <c r="Y113" s="1958"/>
      <c r="Z113" s="1959"/>
      <c r="AA113" s="1659"/>
      <c r="AB113" s="1659"/>
      <c r="AC113" s="1659"/>
      <c r="AD113" s="1658"/>
      <c r="AE113" s="1658"/>
      <c r="AF113" s="1658"/>
      <c r="AG113" s="1658"/>
      <c r="AH113" s="1658"/>
      <c r="AI113" s="1658"/>
      <c r="AJ113" s="1658"/>
      <c r="AK113" s="1658"/>
      <c r="AL113" s="1658"/>
      <c r="AM113" s="1658"/>
      <c r="AN113" s="1658"/>
      <c r="AO113" s="1658"/>
      <c r="AP113" s="1658"/>
      <c r="AQ113" s="1658"/>
      <c r="AR113" s="1658"/>
      <c r="AS113" s="1658"/>
      <c r="AT113" s="1658"/>
      <c r="AU113" s="1658"/>
      <c r="AV113" s="1658"/>
      <c r="AW113" s="1658"/>
      <c r="AX113" s="1658"/>
      <c r="AY113" s="1658"/>
      <c r="AZ113" s="1658"/>
      <c r="BA113" s="1658"/>
      <c r="BB113" s="1658"/>
    </row>
    <row r="114" spans="1:54" s="122" customFormat="1" ht="24" customHeight="1" x14ac:dyDescent="0.3">
      <c r="A114" s="263"/>
      <c r="B114" s="1681"/>
      <c r="C114" s="1681"/>
      <c r="D114" s="1754"/>
      <c r="E114" s="1678"/>
      <c r="F114" s="1755"/>
      <c r="G114" s="322"/>
      <c r="H114" s="1681"/>
      <c r="I114" s="1681"/>
      <c r="J114" s="1681"/>
      <c r="K114" s="1681"/>
      <c r="L114" s="1681"/>
      <c r="M114" s="1681"/>
      <c r="N114" s="1681"/>
      <c r="O114" s="1681"/>
      <c r="P114" s="1682"/>
      <c r="Q114" s="1682"/>
      <c r="R114" s="1682"/>
      <c r="S114" s="1682"/>
      <c r="T114" s="1682"/>
      <c r="U114" s="1682"/>
      <c r="V114" s="1682"/>
      <c r="W114" s="1682"/>
      <c r="X114" s="1682"/>
      <c r="Y114" s="1682"/>
      <c r="Z114" s="1682"/>
      <c r="AA114" s="1682"/>
      <c r="AB114" s="1682"/>
      <c r="AC114" s="1682"/>
      <c r="AD114" s="1791"/>
      <c r="AE114" s="1791"/>
      <c r="AF114" s="1791"/>
      <c r="AG114" s="1791"/>
      <c r="AH114" s="1791"/>
      <c r="AI114" s="1791"/>
      <c r="AJ114" s="1791"/>
      <c r="AK114" s="1791"/>
      <c r="AL114" s="1791"/>
      <c r="AM114" s="1791"/>
      <c r="AN114" s="1791"/>
      <c r="AO114" s="1791"/>
      <c r="AP114" s="1791"/>
      <c r="AQ114" s="1791"/>
      <c r="AR114" s="1791"/>
      <c r="AS114" s="1791"/>
      <c r="AT114" s="1791"/>
      <c r="AU114" s="1791"/>
      <c r="AV114" s="1791"/>
      <c r="AW114" s="1791"/>
      <c r="AX114" s="1791"/>
      <c r="AY114" s="1791"/>
      <c r="AZ114" s="1791"/>
      <c r="BA114" s="1791"/>
      <c r="BB114" s="1791"/>
    </row>
    <row r="115" spans="1:54" ht="24" customHeight="1" thickBot="1" x14ac:dyDescent="0.3">
      <c r="A115" s="262"/>
      <c r="B115" s="2092" t="s">
        <v>359</v>
      </c>
      <c r="C115" s="2092"/>
      <c r="D115" s="1722"/>
      <c r="E115" s="1789"/>
      <c r="F115" s="1651"/>
      <c r="G115" s="1961"/>
      <c r="H115" s="1872"/>
      <c r="I115" s="1872"/>
      <c r="J115" s="1872"/>
      <c r="K115" s="1962"/>
      <c r="L115" s="1962"/>
      <c r="M115" s="1962"/>
      <c r="N115" s="1962"/>
      <c r="O115" s="1962"/>
      <c r="P115" s="1727"/>
      <c r="Q115" s="1727"/>
      <c r="R115" s="1727"/>
      <c r="S115" s="1727"/>
      <c r="T115" s="1727"/>
      <c r="U115" s="1727"/>
      <c r="V115" s="1727"/>
      <c r="W115" s="1727"/>
      <c r="X115" s="1727"/>
      <c r="Y115" s="1727"/>
      <c r="Z115" s="1659"/>
      <c r="AA115" s="1659"/>
      <c r="AB115" s="1659"/>
      <c r="AC115" s="1659"/>
      <c r="AD115" s="1658"/>
      <c r="AE115" s="1658"/>
      <c r="AF115" s="1658"/>
      <c r="AG115" s="1658"/>
      <c r="AH115" s="1658"/>
      <c r="AI115" s="1658"/>
      <c r="AJ115" s="1658"/>
      <c r="AK115" s="1658"/>
      <c r="AL115" s="1658"/>
      <c r="AM115" s="1658"/>
      <c r="AN115" s="1658"/>
      <c r="AO115" s="1658"/>
      <c r="AP115" s="1658"/>
      <c r="AQ115" s="1658"/>
      <c r="AR115" s="1658"/>
      <c r="AS115" s="1658"/>
      <c r="AT115" s="1658"/>
      <c r="AU115" s="1658"/>
      <c r="AV115" s="1658"/>
      <c r="AW115" s="1658"/>
      <c r="AX115" s="1658"/>
      <c r="AY115" s="1658"/>
      <c r="AZ115" s="1658"/>
      <c r="BA115" s="1658"/>
      <c r="BB115" s="1658"/>
    </row>
    <row r="116" spans="1:54" ht="56.25" x14ac:dyDescent="0.25">
      <c r="A116" s="262"/>
      <c r="B116" s="2066" t="s">
        <v>403</v>
      </c>
      <c r="C116" s="2077" t="s">
        <v>1224</v>
      </c>
      <c r="D116" s="2036" t="s">
        <v>343</v>
      </c>
      <c r="E116" s="2036" t="s">
        <v>349</v>
      </c>
      <c r="F116" s="2072" t="str">
        <f>IF('Звіт   4,5,6'!E39=0,"Дані не введено",IF(I117=0,"ПРАВДА","ПОМИЛКА"))</f>
        <v>ПРАВДА</v>
      </c>
      <c r="G116" s="1728" t="s">
        <v>582</v>
      </c>
      <c r="H116" s="1685" t="s">
        <v>1218</v>
      </c>
      <c r="I116" s="1963" t="s">
        <v>535</v>
      </c>
      <c r="J116" s="1658"/>
      <c r="K116" s="1964" t="s">
        <v>1520</v>
      </c>
      <c r="L116" s="1965" t="s">
        <v>1521</v>
      </c>
      <c r="M116" s="1966"/>
      <c r="N116" s="1966"/>
      <c r="O116" s="1966"/>
      <c r="P116" s="1682"/>
      <c r="Q116" s="1682"/>
      <c r="R116" s="1682"/>
      <c r="S116" s="1682"/>
      <c r="T116" s="1659"/>
      <c r="U116" s="1659"/>
      <c r="V116" s="1659"/>
      <c r="W116" s="1659"/>
      <c r="X116" s="1659"/>
      <c r="Y116" s="1659"/>
      <c r="Z116" s="1659"/>
      <c r="AA116" s="1659"/>
      <c r="AB116" s="1659"/>
      <c r="AC116" s="1659"/>
      <c r="AD116" s="1658"/>
      <c r="AE116" s="1658"/>
      <c r="AF116" s="1658"/>
      <c r="AG116" s="1658"/>
      <c r="AH116" s="1658"/>
      <c r="AI116" s="1658"/>
      <c r="AJ116" s="1658"/>
      <c r="AK116" s="1658"/>
      <c r="AL116" s="1658"/>
      <c r="AM116" s="1658"/>
      <c r="AN116" s="1658"/>
      <c r="AO116" s="1658"/>
      <c r="AP116" s="1658"/>
      <c r="AQ116" s="1658"/>
      <c r="AR116" s="1658"/>
      <c r="AS116" s="1658"/>
      <c r="AT116" s="1658"/>
      <c r="AU116" s="1658"/>
      <c r="AV116" s="1658"/>
      <c r="AW116" s="1658"/>
      <c r="AX116" s="1658"/>
      <c r="AY116" s="1658"/>
      <c r="AZ116" s="1658"/>
      <c r="BA116" s="1658"/>
      <c r="BB116" s="1658"/>
    </row>
    <row r="117" spans="1:54" ht="24" customHeight="1" thickBot="1" x14ac:dyDescent="0.3">
      <c r="A117" s="262"/>
      <c r="B117" s="2067"/>
      <c r="C117" s="2078"/>
      <c r="D117" s="2037"/>
      <c r="E117" s="2037"/>
      <c r="F117" s="2065"/>
      <c r="G117" s="1742">
        <f>ROUND(('Звіт   4,5,6'!E39+'Звіт   4,5,6'!I39)/1000,0)</f>
        <v>16892</v>
      </c>
      <c r="H117" s="1742">
        <f>ROUND('Звіт  7,8'!F9/1000,0)</f>
        <v>16892</v>
      </c>
      <c r="I117" s="1967">
        <f>H117-G117</f>
        <v>0</v>
      </c>
      <c r="J117" s="1658"/>
      <c r="K117" s="1968">
        <f>G125+G127+G129+G131+G133+G135+G137+G139+H127+H137-'Звіт  7,8'!F9/1000+'Звіт  7,8'!N11/1000+'Звіт  7,8'!P11/1000+'Звіт  7,8'!N15/1000+'Звіт  7,8'!P15/1000-'Звіт  7,8'!N11/1000-'Звіт  7,8'!N15/1000</f>
        <v>0</v>
      </c>
      <c r="L117" s="1969">
        <f>H125+I127+I129+H131+H133+H135+I137+I139-'Звіт  7,8'!E21</f>
        <v>0</v>
      </c>
      <c r="M117" s="1803"/>
      <c r="N117" s="1803"/>
      <c r="O117" s="1803"/>
      <c r="P117" s="1682"/>
      <c r="Q117" s="1682"/>
      <c r="R117" s="1682"/>
      <c r="S117" s="1682"/>
      <c r="T117" s="1659"/>
      <c r="U117" s="1659"/>
      <c r="V117" s="1659"/>
      <c r="W117" s="1659"/>
      <c r="X117" s="1659"/>
      <c r="Y117" s="1659"/>
      <c r="Z117" s="1659"/>
      <c r="AA117" s="1659"/>
      <c r="AB117" s="1659"/>
      <c r="AC117" s="1659"/>
      <c r="AD117" s="1658"/>
      <c r="AE117" s="1658"/>
      <c r="AF117" s="1658"/>
      <c r="AG117" s="1658"/>
      <c r="AH117" s="1658"/>
      <c r="AI117" s="1658"/>
      <c r="AJ117" s="1658"/>
      <c r="AK117" s="1658"/>
      <c r="AL117" s="1658"/>
      <c r="AM117" s="1658"/>
      <c r="AN117" s="1658"/>
      <c r="AO117" s="1658"/>
      <c r="AP117" s="1658"/>
      <c r="AQ117" s="1658"/>
      <c r="AR117" s="1658"/>
      <c r="AS117" s="1658"/>
      <c r="AT117" s="1658"/>
      <c r="AU117" s="1658"/>
      <c r="AV117" s="1658"/>
      <c r="AW117" s="1658"/>
      <c r="AX117" s="1658"/>
      <c r="AY117" s="1658"/>
      <c r="AZ117" s="1658"/>
      <c r="BA117" s="1658"/>
      <c r="BB117" s="1658"/>
    </row>
    <row r="118" spans="1:54" ht="98.25" customHeight="1" x14ac:dyDescent="0.25">
      <c r="A118" s="262"/>
      <c r="B118" s="2090" t="s">
        <v>404</v>
      </c>
      <c r="C118" s="2052" t="s">
        <v>1568</v>
      </c>
      <c r="D118" s="2086" t="s">
        <v>343</v>
      </c>
      <c r="E118" s="2086" t="s">
        <v>349</v>
      </c>
      <c r="F118" s="2088" t="str">
        <f>IF('Звіт   4,5,6'!E39=0,"Дані не введено",IF(I119=0,"ПРАВДА","ПОМИЛКА"))</f>
        <v>ПРАВДА</v>
      </c>
      <c r="G118" s="1774" t="s">
        <v>1569</v>
      </c>
      <c r="H118" s="1941" t="s">
        <v>1219</v>
      </c>
      <c r="I118" s="1970" t="s">
        <v>535</v>
      </c>
      <c r="J118" s="1658"/>
      <c r="K118" s="1681"/>
      <c r="L118" s="1803"/>
      <c r="M118" s="1803"/>
      <c r="N118" s="1803"/>
      <c r="O118" s="1803"/>
      <c r="P118" s="1682"/>
      <c r="Q118" s="1682"/>
      <c r="R118" s="1682"/>
      <c r="S118" s="1682"/>
      <c r="T118" s="1659"/>
      <c r="U118" s="1659"/>
      <c r="V118" s="1659"/>
      <c r="W118" s="1659"/>
      <c r="X118" s="1659"/>
      <c r="Y118" s="1659"/>
      <c r="Z118" s="1659"/>
      <c r="AA118" s="1659"/>
      <c r="AB118" s="1659"/>
      <c r="AC118" s="1659"/>
      <c r="AD118" s="1658"/>
      <c r="AE118" s="1658"/>
      <c r="AF118" s="1658"/>
      <c r="AG118" s="1658"/>
      <c r="AH118" s="1658"/>
      <c r="AI118" s="1658"/>
      <c r="AJ118" s="1658"/>
      <c r="AK118" s="1658"/>
      <c r="AL118" s="1658"/>
      <c r="AM118" s="1658"/>
      <c r="AN118" s="1658"/>
      <c r="AO118" s="1658"/>
      <c r="AP118" s="1658"/>
      <c r="AQ118" s="1658"/>
      <c r="AR118" s="1658"/>
      <c r="AS118" s="1658"/>
      <c r="AT118" s="1658"/>
      <c r="AU118" s="1658"/>
      <c r="AV118" s="1658"/>
      <c r="AW118" s="1658"/>
      <c r="AX118" s="1658"/>
      <c r="AY118" s="1658"/>
      <c r="AZ118" s="1658"/>
      <c r="BA118" s="1658"/>
      <c r="BB118" s="1658"/>
    </row>
    <row r="119" spans="1:54" ht="25.5" customHeight="1" thickBot="1" x14ac:dyDescent="0.3">
      <c r="A119" s="262"/>
      <c r="B119" s="2091"/>
      <c r="C119" s="2053"/>
      <c r="D119" s="2087"/>
      <c r="E119" s="2087"/>
      <c r="F119" s="2089"/>
      <c r="G119" s="1777">
        <f>ROUND(('Звіт   4,5,6'!G39+'Звіт   4,5,6'!G40+'Звіт   4,5,6'!I39+'Звіт   4,5,6'!I40)/1000,0)</f>
        <v>18863</v>
      </c>
      <c r="H119" s="1777">
        <f>ROUND(('Звіт  7,8'!H9+'Звіт  7,8'!H16)/1000,0)</f>
        <v>18863</v>
      </c>
      <c r="I119" s="1971">
        <f>H119-G119</f>
        <v>0</v>
      </c>
      <c r="J119" s="1658"/>
      <c r="K119" s="1681"/>
      <c r="L119" s="1803"/>
      <c r="M119" s="1803"/>
      <c r="N119" s="1803"/>
      <c r="O119" s="1803"/>
      <c r="P119" s="1682"/>
      <c r="Q119" s="1682"/>
      <c r="R119" s="1682"/>
      <c r="S119" s="1682"/>
      <c r="T119" s="1659"/>
      <c r="U119" s="1659"/>
      <c r="V119" s="1659"/>
      <c r="W119" s="1659"/>
      <c r="X119" s="1659"/>
      <c r="Y119" s="1659"/>
      <c r="Z119" s="1659"/>
      <c r="AA119" s="1659"/>
      <c r="AB119" s="1659"/>
      <c r="AC119" s="1659"/>
      <c r="AD119" s="1658"/>
      <c r="AE119" s="1658"/>
      <c r="AF119" s="1658"/>
      <c r="AG119" s="1658"/>
      <c r="AH119" s="1658"/>
      <c r="AI119" s="1658"/>
      <c r="AJ119" s="1658"/>
      <c r="AK119" s="1658"/>
      <c r="AL119" s="1658"/>
      <c r="AM119" s="1658"/>
      <c r="AN119" s="1658"/>
      <c r="AO119" s="1658"/>
      <c r="AP119" s="1658"/>
      <c r="AQ119" s="1658"/>
      <c r="AR119" s="1658"/>
      <c r="AS119" s="1658"/>
      <c r="AT119" s="1658"/>
      <c r="AU119" s="1658"/>
      <c r="AV119" s="1658"/>
      <c r="AW119" s="1658"/>
      <c r="AX119" s="1658"/>
      <c r="AY119" s="1658"/>
      <c r="AZ119" s="1658"/>
      <c r="BA119" s="1658"/>
      <c r="BB119" s="1658"/>
    </row>
    <row r="120" spans="1:54" ht="72.75" customHeight="1" x14ac:dyDescent="0.25">
      <c r="A120" s="262"/>
      <c r="B120" s="2090" t="s">
        <v>405</v>
      </c>
      <c r="C120" s="2052" t="s">
        <v>1566</v>
      </c>
      <c r="D120" s="2086" t="s">
        <v>343</v>
      </c>
      <c r="E120" s="2086" t="s">
        <v>349</v>
      </c>
      <c r="F120" s="2088" t="str">
        <f>IF('Звіт   4,5,6'!E39=0,"Дані не введено",IF(G121=H121,"ПРАВДА","ПОМИЛКА"))</f>
        <v>ПРАВДА</v>
      </c>
      <c r="G120" s="1774" t="s">
        <v>1220</v>
      </c>
      <c r="H120" s="1941" t="s">
        <v>1221</v>
      </c>
      <c r="I120" s="1970" t="s">
        <v>535</v>
      </c>
      <c r="J120" s="1972"/>
      <c r="K120" s="1803"/>
      <c r="L120" s="1803"/>
      <c r="M120" s="1803"/>
      <c r="N120" s="1803"/>
      <c r="O120" s="1803"/>
      <c r="P120" s="1659"/>
      <c r="Q120" s="1659"/>
      <c r="R120" s="1659"/>
      <c r="S120" s="1659"/>
      <c r="T120" s="1659"/>
      <c r="U120" s="1659"/>
      <c r="V120" s="1659"/>
      <c r="W120" s="1659"/>
      <c r="X120" s="1659"/>
      <c r="Y120" s="1659"/>
      <c r="Z120" s="1659"/>
      <c r="AA120" s="1659"/>
      <c r="AB120" s="1659"/>
      <c r="AC120" s="1659"/>
      <c r="AD120" s="1658"/>
      <c r="AE120" s="1658"/>
      <c r="AF120" s="1658"/>
      <c r="AG120" s="1658"/>
      <c r="AH120" s="1658"/>
      <c r="AI120" s="1658"/>
      <c r="AJ120" s="1658"/>
      <c r="AK120" s="1658"/>
      <c r="AL120" s="1658"/>
      <c r="AM120" s="1658"/>
      <c r="AN120" s="1658"/>
      <c r="AO120" s="1658"/>
      <c r="AP120" s="1658"/>
      <c r="AQ120" s="1658"/>
      <c r="AR120" s="1658"/>
      <c r="AS120" s="1658"/>
      <c r="AT120" s="1658"/>
      <c r="AU120" s="1658"/>
      <c r="AV120" s="1658"/>
      <c r="AW120" s="1658"/>
      <c r="AX120" s="1658"/>
      <c r="AY120" s="1658"/>
      <c r="AZ120" s="1658"/>
      <c r="BA120" s="1658"/>
      <c r="BB120" s="1658"/>
    </row>
    <row r="121" spans="1:54" ht="27.75" customHeight="1" thickBot="1" x14ac:dyDescent="0.3">
      <c r="A121" s="262"/>
      <c r="B121" s="2091"/>
      <c r="C121" s="2053"/>
      <c r="D121" s="2087"/>
      <c r="E121" s="2087"/>
      <c r="F121" s="2089"/>
      <c r="G121" s="1777">
        <f>ROUND(('Звіт   4,5,6'!K39+'Звіт   4,5,6'!K40)/1000,0)</f>
        <v>1790</v>
      </c>
      <c r="H121" s="1777">
        <f>ROUND(('Звіт  7,8'!J9+'Звіт  7,8'!J16)/1000,0)</f>
        <v>1790</v>
      </c>
      <c r="I121" s="1971">
        <f>H121-G121</f>
        <v>0</v>
      </c>
      <c r="J121" s="1961"/>
      <c r="K121" s="1803"/>
      <c r="L121" s="1803"/>
      <c r="M121" s="1803"/>
      <c r="N121" s="1803"/>
      <c r="O121" s="1803"/>
      <c r="P121" s="1659"/>
      <c r="Q121" s="1659"/>
      <c r="R121" s="1659"/>
      <c r="S121" s="1659"/>
      <c r="T121" s="1659"/>
      <c r="U121" s="1659"/>
      <c r="V121" s="1659"/>
      <c r="W121" s="1659"/>
      <c r="X121" s="1659"/>
      <c r="Y121" s="1659"/>
      <c r="Z121" s="1659"/>
      <c r="AA121" s="1659"/>
      <c r="AB121" s="1659"/>
      <c r="AC121" s="1659"/>
      <c r="AD121" s="1658"/>
      <c r="AE121" s="1658"/>
      <c r="AF121" s="1658"/>
      <c r="AG121" s="1658"/>
      <c r="AH121" s="1658"/>
      <c r="AI121" s="1658"/>
      <c r="AJ121" s="1658"/>
      <c r="AK121" s="1658"/>
      <c r="AL121" s="1658"/>
      <c r="AM121" s="1658"/>
      <c r="AN121" s="1658"/>
      <c r="AO121" s="1658"/>
      <c r="AP121" s="1658"/>
      <c r="AQ121" s="1658"/>
      <c r="AR121" s="1658"/>
      <c r="AS121" s="1658"/>
      <c r="AT121" s="1658"/>
      <c r="AU121" s="1658"/>
      <c r="AV121" s="1658"/>
      <c r="AW121" s="1658"/>
      <c r="AX121" s="1658"/>
      <c r="AY121" s="1658"/>
      <c r="AZ121" s="1658"/>
      <c r="BA121" s="1658"/>
      <c r="BB121" s="1658"/>
    </row>
    <row r="122" spans="1:54" ht="77.25" customHeight="1" x14ac:dyDescent="0.25">
      <c r="A122" s="262"/>
      <c r="B122" s="2090" t="s">
        <v>406</v>
      </c>
      <c r="C122" s="2052" t="s">
        <v>1567</v>
      </c>
      <c r="D122" s="2086" t="s">
        <v>343</v>
      </c>
      <c r="E122" s="2086" t="s">
        <v>349</v>
      </c>
      <c r="F122" s="2088" t="str">
        <f>IF('Звіт   4,5,6'!E39=0,"Дані не введено",IF(G123=H123,"ПРАВДА","ПОМИЛКА"))</f>
        <v>ПРАВДА</v>
      </c>
      <c r="G122" s="1774" t="s">
        <v>1222</v>
      </c>
      <c r="H122" s="1941" t="s">
        <v>1223</v>
      </c>
      <c r="I122" s="1970" t="s">
        <v>535</v>
      </c>
      <c r="J122" s="1972"/>
      <c r="K122" s="1803"/>
      <c r="L122" s="1803"/>
      <c r="M122" s="1803"/>
      <c r="N122" s="1803"/>
      <c r="O122" s="1803"/>
      <c r="P122" s="1659"/>
      <c r="Q122" s="1659"/>
      <c r="R122" s="1659"/>
      <c r="S122" s="1659"/>
      <c r="T122" s="1659"/>
      <c r="U122" s="1659"/>
      <c r="V122" s="1659"/>
      <c r="W122" s="1659"/>
      <c r="X122" s="1659"/>
      <c r="Y122" s="1659"/>
      <c r="Z122" s="1659"/>
      <c r="AA122" s="1659"/>
      <c r="AB122" s="1659"/>
      <c r="AC122" s="1659"/>
      <c r="AD122" s="1658"/>
      <c r="AE122" s="1658"/>
      <c r="AF122" s="1658"/>
      <c r="AG122" s="1658"/>
      <c r="AH122" s="1658"/>
      <c r="AI122" s="1658"/>
      <c r="AJ122" s="1658"/>
      <c r="AK122" s="1658"/>
      <c r="AL122" s="1658"/>
      <c r="AM122" s="1658"/>
      <c r="AN122" s="1658"/>
      <c r="AO122" s="1658"/>
      <c r="AP122" s="1658"/>
      <c r="AQ122" s="1658"/>
      <c r="AR122" s="1658"/>
      <c r="AS122" s="1658"/>
      <c r="AT122" s="1658"/>
      <c r="AU122" s="1658"/>
      <c r="AV122" s="1658"/>
      <c r="AW122" s="1658"/>
      <c r="AX122" s="1658"/>
      <c r="AY122" s="1658"/>
      <c r="AZ122" s="1658"/>
      <c r="BA122" s="1658"/>
      <c r="BB122" s="1658"/>
    </row>
    <row r="123" spans="1:54" ht="22.5" customHeight="1" thickBot="1" x14ac:dyDescent="0.3">
      <c r="A123" s="262"/>
      <c r="B123" s="2091"/>
      <c r="C123" s="2053"/>
      <c r="D123" s="2087"/>
      <c r="E123" s="2087"/>
      <c r="F123" s="2089"/>
      <c r="G123" s="1777">
        <f>ROUND(('Звіт   4,5,6'!O39+'Звіт   4,5,6'!O40)/1000,0)</f>
        <v>0</v>
      </c>
      <c r="H123" s="1777">
        <f>ROUND(('Звіт  7,8'!N9+'Звіт  7,8'!N16)/1000,0)</f>
        <v>0</v>
      </c>
      <c r="I123" s="1971">
        <f>H123-G123</f>
        <v>0</v>
      </c>
      <c r="J123" s="1961"/>
      <c r="K123" s="1651"/>
      <c r="L123" s="1803"/>
      <c r="M123" s="1803"/>
      <c r="N123" s="1803"/>
      <c r="O123" s="1803"/>
      <c r="P123" s="1659"/>
      <c r="Q123" s="1659"/>
      <c r="R123" s="1659"/>
      <c r="S123" s="1659"/>
      <c r="T123" s="1659"/>
      <c r="U123" s="1659"/>
      <c r="V123" s="1659"/>
      <c r="W123" s="1659"/>
      <c r="X123" s="1659"/>
      <c r="Y123" s="1659"/>
      <c r="Z123" s="1659"/>
      <c r="AA123" s="1659"/>
      <c r="AB123" s="1659"/>
      <c r="AC123" s="1659"/>
      <c r="AD123" s="1658"/>
      <c r="AE123" s="1658"/>
      <c r="AF123" s="1658"/>
      <c r="AG123" s="1658"/>
      <c r="AH123" s="1658"/>
      <c r="AI123" s="1658"/>
      <c r="AJ123" s="1658"/>
      <c r="AK123" s="1658"/>
      <c r="AL123" s="1658"/>
      <c r="AM123" s="1658"/>
      <c r="AN123" s="1658"/>
      <c r="AO123" s="1658"/>
      <c r="AP123" s="1658"/>
      <c r="AQ123" s="1658"/>
      <c r="AR123" s="1658"/>
      <c r="AS123" s="1658"/>
      <c r="AT123" s="1658"/>
      <c r="AU123" s="1658"/>
      <c r="AV123" s="1658"/>
      <c r="AW123" s="1658"/>
      <c r="AX123" s="1658"/>
      <c r="AY123" s="1658"/>
      <c r="AZ123" s="1658"/>
      <c r="BA123" s="1658"/>
      <c r="BB123" s="1658"/>
    </row>
    <row r="124" spans="1:54" ht="18.75" customHeight="1" x14ac:dyDescent="0.25">
      <c r="A124" s="262"/>
      <c r="B124" s="2066" t="s">
        <v>407</v>
      </c>
      <c r="C124" s="2079" t="s">
        <v>368</v>
      </c>
      <c r="D124" s="2081" t="s">
        <v>343</v>
      </c>
      <c r="E124" s="2081" t="s">
        <v>349</v>
      </c>
      <c r="F124" s="2083" t="str">
        <f>IF('Звіт   4,5,6'!E39=0,"Дані не введено",IF(OR(AND(G125&gt;0,H125&gt;0),AND(G125=0,H125=0)),"ПРАВДА","ПОМИЛКА"))</f>
        <v>ПРАВДА</v>
      </c>
      <c r="G124" s="1718" t="s">
        <v>369</v>
      </c>
      <c r="H124" s="1973" t="s">
        <v>366</v>
      </c>
      <c r="I124" s="1659"/>
      <c r="J124" s="1659"/>
      <c r="K124" s="1659"/>
      <c r="L124" s="1803"/>
      <c r="M124" s="1803"/>
      <c r="N124" s="1803"/>
      <c r="O124" s="1803"/>
      <c r="P124" s="1659"/>
      <c r="Q124" s="1659"/>
      <c r="R124" s="1659"/>
      <c r="S124" s="1659"/>
      <c r="T124" s="1659"/>
      <c r="U124" s="1659"/>
      <c r="V124" s="1659"/>
      <c r="W124" s="1659"/>
      <c r="X124" s="1659"/>
      <c r="Y124" s="1659"/>
      <c r="Z124" s="1659"/>
      <c r="AA124" s="1659"/>
      <c r="AB124" s="1659"/>
      <c r="AC124" s="1659"/>
      <c r="AD124" s="1658"/>
      <c r="AE124" s="1658"/>
      <c r="AF124" s="1658"/>
      <c r="AG124" s="1658"/>
      <c r="AH124" s="1658"/>
      <c r="AI124" s="1658"/>
      <c r="AJ124" s="1658"/>
      <c r="AK124" s="1658"/>
      <c r="AL124" s="1658"/>
      <c r="AM124" s="1658"/>
      <c r="AN124" s="1658"/>
      <c r="AO124" s="1658"/>
      <c r="AP124" s="1658"/>
      <c r="AQ124" s="1658"/>
      <c r="AR124" s="1658"/>
      <c r="AS124" s="1658"/>
      <c r="AT124" s="1658"/>
      <c r="AU124" s="1658"/>
      <c r="AV124" s="1658"/>
      <c r="AW124" s="1658"/>
      <c r="AX124" s="1658"/>
      <c r="AY124" s="1658"/>
      <c r="AZ124" s="1658"/>
      <c r="BA124" s="1658"/>
      <c r="BB124" s="1658"/>
    </row>
    <row r="125" spans="1:54" ht="30" customHeight="1" thickBot="1" x14ac:dyDescent="0.3">
      <c r="A125" s="262"/>
      <c r="B125" s="2067"/>
      <c r="C125" s="2080"/>
      <c r="D125" s="2082"/>
      <c r="E125" s="2082"/>
      <c r="F125" s="2076"/>
      <c r="G125" s="1974">
        <f>'Звіт  7,8'!F10/1000</f>
        <v>139.369</v>
      </c>
      <c r="H125" s="1975">
        <f>'Звіт  7,8'!F21</f>
        <v>2</v>
      </c>
      <c r="I125" s="1659"/>
      <c r="J125" s="1659"/>
      <c r="K125" s="1659"/>
      <c r="L125" s="1803"/>
      <c r="M125" s="1803"/>
      <c r="N125" s="1803"/>
      <c r="O125" s="1803"/>
      <c r="P125" s="1659"/>
      <c r="Q125" s="1659"/>
      <c r="R125" s="1659"/>
      <c r="S125" s="1659"/>
      <c r="T125" s="1659"/>
      <c r="U125" s="1659"/>
      <c r="V125" s="1659"/>
      <c r="W125" s="1659"/>
      <c r="X125" s="1659"/>
      <c r="Y125" s="1659"/>
      <c r="Z125" s="1659"/>
      <c r="AA125" s="1659"/>
      <c r="AB125" s="1659"/>
      <c r="AC125" s="1659"/>
      <c r="AD125" s="1658"/>
      <c r="AE125" s="1658"/>
      <c r="AF125" s="1658"/>
      <c r="AG125" s="1658"/>
      <c r="AH125" s="1658"/>
      <c r="AI125" s="1658"/>
      <c r="AJ125" s="1658"/>
      <c r="AK125" s="1658"/>
      <c r="AL125" s="1658"/>
      <c r="AM125" s="1658"/>
      <c r="AN125" s="1658"/>
      <c r="AO125" s="1658"/>
      <c r="AP125" s="1658"/>
      <c r="AQ125" s="1658"/>
      <c r="AR125" s="1658"/>
      <c r="AS125" s="1658"/>
      <c r="AT125" s="1658"/>
      <c r="AU125" s="1658"/>
      <c r="AV125" s="1658"/>
      <c r="AW125" s="1658"/>
      <c r="AX125" s="1658"/>
      <c r="AY125" s="1658"/>
      <c r="AZ125" s="1658"/>
      <c r="BA125" s="1658"/>
      <c r="BB125" s="1658"/>
    </row>
    <row r="126" spans="1:54" ht="56.25" x14ac:dyDescent="0.25">
      <c r="A126" s="262"/>
      <c r="B126" s="2066" t="s">
        <v>408</v>
      </c>
      <c r="C126" s="2068" t="s">
        <v>820</v>
      </c>
      <c r="D126" s="2070" t="s">
        <v>343</v>
      </c>
      <c r="E126" s="2070" t="s">
        <v>349</v>
      </c>
      <c r="F126" s="2072" t="str">
        <f>IF('Звіт   4,5,6'!E39=0,"Дані не введено",IF(OR(AND(I127&gt;0,G127&gt;0,H127&gt;0),AND(I127&gt;0,G127&gt;0,H127=0),AND(I127&gt;0,G127=0,H127&gt;0),AND(I127=0,G127=0,H127=0),AND(H129&gt;0,I129&gt;0,G129=0),AND(H129&gt;0,I129&gt;0,G129&gt;0)),"ПРАВДА","ПОМИЛКА"))</f>
        <v>ПРАВДА</v>
      </c>
      <c r="G126" s="1706" t="s">
        <v>371</v>
      </c>
      <c r="H126" s="1706" t="s">
        <v>818</v>
      </c>
      <c r="I126" s="1976" t="s">
        <v>367</v>
      </c>
      <c r="J126" s="1726"/>
      <c r="K126" s="1651"/>
      <c r="L126" s="1803"/>
      <c r="M126" s="1803"/>
      <c r="N126" s="1803"/>
      <c r="O126" s="1803"/>
      <c r="P126" s="1659"/>
      <c r="Q126" s="1659"/>
      <c r="R126" s="1659"/>
      <c r="S126" s="1659"/>
      <c r="T126" s="1659"/>
      <c r="U126" s="1659"/>
      <c r="V126" s="1659"/>
      <c r="W126" s="1659"/>
      <c r="X126" s="1659"/>
      <c r="Y126" s="1659"/>
      <c r="Z126" s="1659"/>
      <c r="AA126" s="1659"/>
      <c r="AB126" s="1659"/>
      <c r="AC126" s="1659"/>
      <c r="AD126" s="1658"/>
      <c r="AE126" s="1658"/>
      <c r="AF126" s="1658"/>
      <c r="AG126" s="1658"/>
      <c r="AH126" s="1658"/>
      <c r="AI126" s="1658"/>
      <c r="AJ126" s="1658"/>
      <c r="AK126" s="1658"/>
      <c r="AL126" s="1658"/>
      <c r="AM126" s="1658"/>
      <c r="AN126" s="1658"/>
      <c r="AO126" s="1658"/>
      <c r="AP126" s="1658"/>
      <c r="AQ126" s="1658"/>
      <c r="AR126" s="1658"/>
      <c r="AS126" s="1658"/>
      <c r="AT126" s="1658"/>
      <c r="AU126" s="1658"/>
      <c r="AV126" s="1658"/>
      <c r="AW126" s="1658"/>
      <c r="AX126" s="1658"/>
      <c r="AY126" s="1658"/>
      <c r="AZ126" s="1658"/>
      <c r="BA126" s="1658"/>
      <c r="BB126" s="1658"/>
    </row>
    <row r="127" spans="1:54" ht="19.5" customHeight="1" thickBot="1" x14ac:dyDescent="0.3">
      <c r="A127" s="262"/>
      <c r="B127" s="2067"/>
      <c r="C127" s="2069"/>
      <c r="D127" s="2071"/>
      <c r="E127" s="2071"/>
      <c r="F127" s="2065"/>
      <c r="G127" s="1977">
        <f>'Звіт  7,8'!J11/1000</f>
        <v>454.32600000000002</v>
      </c>
      <c r="H127" s="1977">
        <f>'Звіт  7,8'!N11/1000</f>
        <v>0</v>
      </c>
      <c r="I127" s="1978">
        <f>'Звіт  7,8'!G21</f>
        <v>18</v>
      </c>
      <c r="J127" s="1726"/>
      <c r="K127" s="1651"/>
      <c r="L127" s="1803"/>
      <c r="M127" s="1803"/>
      <c r="N127" s="1803"/>
      <c r="O127" s="1803"/>
      <c r="P127" s="1659"/>
      <c r="Q127" s="1659"/>
      <c r="R127" s="1659"/>
      <c r="S127" s="1659"/>
      <c r="T127" s="1659"/>
      <c r="U127" s="1659"/>
      <c r="V127" s="1659"/>
      <c r="W127" s="1659"/>
      <c r="X127" s="1659"/>
      <c r="Y127" s="1659"/>
      <c r="Z127" s="1659"/>
      <c r="AA127" s="1659"/>
      <c r="AB127" s="1659"/>
      <c r="AC127" s="1659"/>
      <c r="AD127" s="1658"/>
      <c r="AE127" s="1658"/>
      <c r="AF127" s="1658"/>
      <c r="AG127" s="1658"/>
      <c r="AH127" s="1658"/>
      <c r="AI127" s="1658"/>
      <c r="AJ127" s="1658"/>
      <c r="AK127" s="1658"/>
      <c r="AL127" s="1658"/>
      <c r="AM127" s="1658"/>
      <c r="AN127" s="1658"/>
      <c r="AO127" s="1658"/>
      <c r="AP127" s="1658"/>
      <c r="AQ127" s="1658"/>
      <c r="AR127" s="1658"/>
      <c r="AS127" s="1658"/>
      <c r="AT127" s="1658"/>
      <c r="AU127" s="1658"/>
      <c r="AV127" s="1658"/>
      <c r="AW127" s="1658"/>
      <c r="AX127" s="1658"/>
      <c r="AY127" s="1658"/>
      <c r="AZ127" s="1658"/>
      <c r="BA127" s="1658"/>
      <c r="BB127" s="1658"/>
    </row>
    <row r="128" spans="1:54" ht="56.25" customHeight="1" x14ac:dyDescent="0.25">
      <c r="A128" s="262"/>
      <c r="B128" s="2066" t="s">
        <v>409</v>
      </c>
      <c r="C128" s="2084" t="s">
        <v>821</v>
      </c>
      <c r="D128" s="2085" t="s">
        <v>343</v>
      </c>
      <c r="E128" s="2085" t="s">
        <v>349</v>
      </c>
      <c r="F128" s="2083" t="str">
        <f>IF('Звіт   4,5,6'!E39=0,"Дані не введено",IF(OR(AND(I129&gt;0,G129&gt;0,H129&gt;0),AND(I129&gt;0,G129&gt;0,H129=0),AND(I129&gt;0,G129=0,H129&gt;0),AND(I129=0,G129=0,H129=0),AND(F126="ПРАВДА",G129=0,H129&gt;0,I129=0)),"ПРАВДА","ПОМИЛКА"))</f>
        <v>ПРАВДА</v>
      </c>
      <c r="G128" s="1979" t="s">
        <v>530</v>
      </c>
      <c r="H128" s="1979" t="s">
        <v>818</v>
      </c>
      <c r="I128" s="1980" t="s">
        <v>372</v>
      </c>
      <c r="J128" s="1726"/>
      <c r="K128" s="1651"/>
      <c r="L128" s="1803"/>
      <c r="M128" s="1803"/>
      <c r="N128" s="1803"/>
      <c r="O128" s="1803"/>
      <c r="P128" s="1659"/>
      <c r="Q128" s="1659"/>
      <c r="R128" s="1659"/>
      <c r="S128" s="1659"/>
      <c r="T128" s="1659"/>
      <c r="U128" s="1659"/>
      <c r="V128" s="1659"/>
      <c r="W128" s="1659"/>
      <c r="X128" s="1659"/>
      <c r="Y128" s="1659"/>
      <c r="Z128" s="1659"/>
      <c r="AA128" s="1659"/>
      <c r="AB128" s="1659"/>
      <c r="AC128" s="1659"/>
      <c r="AD128" s="1658"/>
      <c r="AE128" s="1658"/>
      <c r="AF128" s="1658"/>
      <c r="AG128" s="1658"/>
      <c r="AH128" s="1658"/>
      <c r="AI128" s="1658"/>
      <c r="AJ128" s="1658"/>
      <c r="AK128" s="1658"/>
      <c r="AL128" s="1658"/>
      <c r="AM128" s="1658"/>
      <c r="AN128" s="1658"/>
      <c r="AO128" s="1658"/>
      <c r="AP128" s="1658"/>
      <c r="AQ128" s="1658"/>
      <c r="AR128" s="1658"/>
      <c r="AS128" s="1658"/>
      <c r="AT128" s="1658"/>
      <c r="AU128" s="1658"/>
      <c r="AV128" s="1658"/>
      <c r="AW128" s="1658"/>
      <c r="AX128" s="1658"/>
      <c r="AY128" s="1658"/>
      <c r="AZ128" s="1658"/>
      <c r="BA128" s="1658"/>
      <c r="BB128" s="1658"/>
    </row>
    <row r="129" spans="1:54" ht="19.5" customHeight="1" thickBot="1" x14ac:dyDescent="0.3">
      <c r="A129" s="262"/>
      <c r="B129" s="2067"/>
      <c r="C129" s="2069"/>
      <c r="D129" s="2071"/>
      <c r="E129" s="2071"/>
      <c r="F129" s="2065"/>
      <c r="G129" s="1981">
        <f>'Звіт  7,8'!H11/1000</f>
        <v>897.81500000000005</v>
      </c>
      <c r="H129" s="1977">
        <f>H127</f>
        <v>0</v>
      </c>
      <c r="I129" s="1978">
        <f>'Звіт  7,8'!H21</f>
        <v>18</v>
      </c>
      <c r="J129" s="1726"/>
      <c r="K129" s="1651"/>
      <c r="L129" s="1803"/>
      <c r="M129" s="1803"/>
      <c r="N129" s="1803"/>
      <c r="O129" s="1803"/>
      <c r="P129" s="1659"/>
      <c r="Q129" s="1659"/>
      <c r="R129" s="1659"/>
      <c r="S129" s="1659"/>
      <c r="T129" s="1659"/>
      <c r="U129" s="1659"/>
      <c r="V129" s="1659"/>
      <c r="W129" s="1659"/>
      <c r="X129" s="1659"/>
      <c r="Y129" s="1659"/>
      <c r="Z129" s="1659"/>
      <c r="AA129" s="1659"/>
      <c r="AB129" s="1659"/>
      <c r="AC129" s="1659"/>
      <c r="AD129" s="1658"/>
      <c r="AE129" s="1658"/>
      <c r="AF129" s="1658"/>
      <c r="AG129" s="1658"/>
      <c r="AH129" s="1658"/>
      <c r="AI129" s="1658"/>
      <c r="AJ129" s="1658"/>
      <c r="AK129" s="1658"/>
      <c r="AL129" s="1658"/>
      <c r="AM129" s="1658"/>
      <c r="AN129" s="1658"/>
      <c r="AO129" s="1658"/>
      <c r="AP129" s="1658"/>
      <c r="AQ129" s="1658"/>
      <c r="AR129" s="1658"/>
      <c r="AS129" s="1658"/>
      <c r="AT129" s="1658"/>
      <c r="AU129" s="1658"/>
      <c r="AV129" s="1658"/>
      <c r="AW129" s="1658"/>
      <c r="AX129" s="1658"/>
      <c r="AY129" s="1658"/>
      <c r="AZ129" s="1658"/>
      <c r="BA129" s="1658"/>
      <c r="BB129" s="1658"/>
    </row>
    <row r="130" spans="1:54" ht="18.75" customHeight="1" x14ac:dyDescent="0.25">
      <c r="A130" s="262"/>
      <c r="B130" s="2066" t="s">
        <v>410</v>
      </c>
      <c r="C130" s="2077" t="s">
        <v>374</v>
      </c>
      <c r="D130" s="2036" t="s">
        <v>343</v>
      </c>
      <c r="E130" s="2036" t="s">
        <v>349</v>
      </c>
      <c r="F130" s="2072" t="str">
        <f>IF('Звіт   4,5,6'!E39=0,"Дані не введено",IF(OR(AND(G131&gt;0,H131&gt;0),AND(G131=0,H131=0)),"ПРАВДА","ПОМИЛКА"))</f>
        <v>ПРАВДА</v>
      </c>
      <c r="G130" s="1728" t="s">
        <v>373</v>
      </c>
      <c r="H130" s="1982" t="s">
        <v>375</v>
      </c>
      <c r="I130" s="1872"/>
      <c r="J130" s="1872"/>
      <c r="K130" s="1651"/>
      <c r="L130" s="1803"/>
      <c r="M130" s="1803"/>
      <c r="N130" s="1803"/>
      <c r="O130" s="1803"/>
      <c r="P130" s="1659"/>
      <c r="Q130" s="1659"/>
      <c r="R130" s="1659"/>
      <c r="S130" s="1659"/>
      <c r="T130" s="1659"/>
      <c r="U130" s="1659"/>
      <c r="V130" s="1659"/>
      <c r="W130" s="1659"/>
      <c r="X130" s="1659"/>
      <c r="Y130" s="1659"/>
      <c r="Z130" s="1659"/>
      <c r="AA130" s="1659"/>
      <c r="AB130" s="1659"/>
      <c r="AC130" s="1659"/>
      <c r="AD130" s="1658"/>
      <c r="AE130" s="1658"/>
      <c r="AF130" s="1658"/>
      <c r="AG130" s="1658"/>
      <c r="AH130" s="1658"/>
      <c r="AI130" s="1658"/>
      <c r="AJ130" s="1658"/>
      <c r="AK130" s="1658"/>
      <c r="AL130" s="1658"/>
      <c r="AM130" s="1658"/>
      <c r="AN130" s="1658"/>
      <c r="AO130" s="1658"/>
      <c r="AP130" s="1658"/>
      <c r="AQ130" s="1658"/>
      <c r="AR130" s="1658"/>
      <c r="AS130" s="1658"/>
      <c r="AT130" s="1658"/>
      <c r="AU130" s="1658"/>
      <c r="AV130" s="1658"/>
      <c r="AW130" s="1658"/>
      <c r="AX130" s="1658"/>
      <c r="AY130" s="1658"/>
      <c r="AZ130" s="1658"/>
      <c r="BA130" s="1658"/>
      <c r="BB130" s="1658"/>
    </row>
    <row r="131" spans="1:54" ht="20.25" customHeight="1" thickBot="1" x14ac:dyDescent="0.3">
      <c r="A131" s="262"/>
      <c r="B131" s="2067"/>
      <c r="C131" s="2078"/>
      <c r="D131" s="2037"/>
      <c r="E131" s="2037"/>
      <c r="F131" s="2065"/>
      <c r="G131" s="1742">
        <f>'Звіт  7,8'!F12/1000</f>
        <v>3009.3220000000001</v>
      </c>
      <c r="H131" s="1983">
        <f>'Звіт  7,8'!I21</f>
        <v>71</v>
      </c>
      <c r="I131" s="1872"/>
      <c r="J131" s="1872"/>
      <c r="K131" s="1651"/>
      <c r="L131" s="1803"/>
      <c r="M131" s="1803"/>
      <c r="N131" s="1803"/>
      <c r="O131" s="1803"/>
      <c r="P131" s="1659"/>
      <c r="Q131" s="1659"/>
      <c r="R131" s="1659"/>
      <c r="S131" s="1659"/>
      <c r="T131" s="1659"/>
      <c r="U131" s="1659"/>
      <c r="V131" s="1659"/>
      <c r="W131" s="1659"/>
      <c r="X131" s="1659"/>
      <c r="Y131" s="1659"/>
      <c r="Z131" s="1659"/>
      <c r="AA131" s="1659"/>
      <c r="AB131" s="1659"/>
      <c r="AC131" s="1659"/>
      <c r="AD131" s="1658"/>
      <c r="AE131" s="1658"/>
      <c r="AF131" s="1658"/>
      <c r="AG131" s="1658"/>
      <c r="AH131" s="1658"/>
      <c r="AI131" s="1658"/>
      <c r="AJ131" s="1658"/>
      <c r="AK131" s="1658"/>
      <c r="AL131" s="1658"/>
      <c r="AM131" s="1658"/>
      <c r="AN131" s="1658"/>
      <c r="AO131" s="1658"/>
      <c r="AP131" s="1658"/>
      <c r="AQ131" s="1658"/>
      <c r="AR131" s="1658"/>
      <c r="AS131" s="1658"/>
      <c r="AT131" s="1658"/>
      <c r="AU131" s="1658"/>
      <c r="AV131" s="1658"/>
      <c r="AW131" s="1658"/>
      <c r="AX131" s="1658"/>
      <c r="AY131" s="1658"/>
      <c r="AZ131" s="1658"/>
      <c r="BA131" s="1658"/>
      <c r="BB131" s="1658"/>
    </row>
    <row r="132" spans="1:54" ht="37.5" customHeight="1" x14ac:dyDescent="0.25">
      <c r="A132" s="262"/>
      <c r="B132" s="2066" t="s">
        <v>411</v>
      </c>
      <c r="C132" s="2077" t="s">
        <v>383</v>
      </c>
      <c r="D132" s="2036" t="s">
        <v>343</v>
      </c>
      <c r="E132" s="2036" t="s">
        <v>349</v>
      </c>
      <c r="F132" s="2072" t="str">
        <f>IF('Звіт   4,5,6'!E39=0,"Дані не введено",IF(OR(AND(G133&gt;0,H133&gt;0),AND(G133=0,H133=0)),"ПРАВДА","ПОМИЛКА"))</f>
        <v>ПРАВДА</v>
      </c>
      <c r="G132" s="1728" t="s">
        <v>376</v>
      </c>
      <c r="H132" s="1982" t="s">
        <v>377</v>
      </c>
      <c r="I132" s="1872"/>
      <c r="J132" s="1872"/>
      <c r="K132" s="1651"/>
      <c r="L132" s="1803"/>
      <c r="M132" s="1803"/>
      <c r="N132" s="1803"/>
      <c r="O132" s="1803"/>
      <c r="P132" s="1659"/>
      <c r="Q132" s="1659"/>
      <c r="R132" s="1659"/>
      <c r="S132" s="1659"/>
      <c r="T132" s="1659"/>
      <c r="U132" s="1659"/>
      <c r="V132" s="1659"/>
      <c r="W132" s="1659"/>
      <c r="X132" s="1659"/>
      <c r="Y132" s="1659"/>
      <c r="Z132" s="1659"/>
      <c r="AA132" s="1659"/>
      <c r="AB132" s="1659"/>
      <c r="AC132" s="1659"/>
      <c r="AD132" s="1658"/>
      <c r="AE132" s="1658"/>
      <c r="AF132" s="1658"/>
      <c r="AG132" s="1658"/>
      <c r="AH132" s="1658"/>
      <c r="AI132" s="1658"/>
      <c r="AJ132" s="1658"/>
      <c r="AK132" s="1658"/>
      <c r="AL132" s="1658"/>
      <c r="AM132" s="1658"/>
      <c r="AN132" s="1658"/>
      <c r="AO132" s="1658"/>
      <c r="AP132" s="1658"/>
      <c r="AQ132" s="1658"/>
      <c r="AR132" s="1658"/>
      <c r="AS132" s="1658"/>
      <c r="AT132" s="1658"/>
      <c r="AU132" s="1658"/>
      <c r="AV132" s="1658"/>
      <c r="AW132" s="1658"/>
      <c r="AX132" s="1658"/>
      <c r="AY132" s="1658"/>
      <c r="AZ132" s="1658"/>
      <c r="BA132" s="1658"/>
      <c r="BB132" s="1658"/>
    </row>
    <row r="133" spans="1:54" ht="19.5" customHeight="1" thickBot="1" x14ac:dyDescent="0.3">
      <c r="A133" s="262"/>
      <c r="B133" s="2067"/>
      <c r="C133" s="2078"/>
      <c r="D133" s="2037"/>
      <c r="E133" s="2037"/>
      <c r="F133" s="2065"/>
      <c r="G133" s="1742">
        <f>'Звіт  7,8'!F13/1000</f>
        <v>6019.8310000000001</v>
      </c>
      <c r="H133" s="1983">
        <f>'Звіт  7,8'!J21</f>
        <v>190</v>
      </c>
      <c r="I133" s="1872"/>
      <c r="J133" s="1872"/>
      <c r="K133" s="1651"/>
      <c r="L133" s="1803"/>
      <c r="M133" s="1803"/>
      <c r="N133" s="1803"/>
      <c r="O133" s="1803"/>
      <c r="P133" s="1659"/>
      <c r="Q133" s="1659"/>
      <c r="R133" s="1659"/>
      <c r="S133" s="1659"/>
      <c r="T133" s="1659"/>
      <c r="U133" s="1659"/>
      <c r="V133" s="1659"/>
      <c r="W133" s="1659"/>
      <c r="X133" s="1659"/>
      <c r="Y133" s="1659"/>
      <c r="Z133" s="1659"/>
      <c r="AA133" s="1659"/>
      <c r="AB133" s="1659"/>
      <c r="AC133" s="1659"/>
      <c r="AD133" s="1658"/>
      <c r="AE133" s="1658"/>
      <c r="AF133" s="1658"/>
      <c r="AG133" s="1658"/>
      <c r="AH133" s="1658"/>
      <c r="AI133" s="1658"/>
      <c r="AJ133" s="1658"/>
      <c r="AK133" s="1658"/>
      <c r="AL133" s="1658"/>
      <c r="AM133" s="1658"/>
      <c r="AN133" s="1658"/>
      <c r="AO133" s="1658"/>
      <c r="AP133" s="1658"/>
      <c r="AQ133" s="1658"/>
      <c r="AR133" s="1658"/>
      <c r="AS133" s="1658"/>
      <c r="AT133" s="1658"/>
      <c r="AU133" s="1658"/>
      <c r="AV133" s="1658"/>
      <c r="AW133" s="1658"/>
      <c r="AX133" s="1658"/>
      <c r="AY133" s="1658"/>
      <c r="AZ133" s="1658"/>
      <c r="BA133" s="1658"/>
      <c r="BB133" s="1658"/>
    </row>
    <row r="134" spans="1:54" ht="37.5" x14ac:dyDescent="0.25">
      <c r="A134" s="262"/>
      <c r="B134" s="2066" t="s">
        <v>412</v>
      </c>
      <c r="C134" s="2079" t="s">
        <v>384</v>
      </c>
      <c r="D134" s="2081" t="s">
        <v>343</v>
      </c>
      <c r="E134" s="2081" t="s">
        <v>349</v>
      </c>
      <c r="F134" s="2083" t="str">
        <f>IF('Звіт   4,5,6'!E39=0,"Дані не введено",IF(OR(AND(G135&gt;0,H135&gt;0),AND(G135=0,H135=0)),"ПРАВДА","ПОМИЛКА"))</f>
        <v>ПРАВДА</v>
      </c>
      <c r="G134" s="1718" t="s">
        <v>378</v>
      </c>
      <c r="H134" s="1973" t="s">
        <v>379</v>
      </c>
      <c r="I134" s="1872"/>
      <c r="J134" s="1872"/>
      <c r="K134" s="1651"/>
      <c r="L134" s="1803"/>
      <c r="M134" s="1803"/>
      <c r="N134" s="1803"/>
      <c r="O134" s="1803"/>
      <c r="P134" s="1659"/>
      <c r="Q134" s="1659"/>
      <c r="R134" s="1659"/>
      <c r="S134" s="1659"/>
      <c r="T134" s="1659"/>
      <c r="U134" s="1659"/>
      <c r="V134" s="1659"/>
      <c r="W134" s="1659"/>
      <c r="X134" s="1659"/>
      <c r="Y134" s="1659"/>
      <c r="Z134" s="1659"/>
      <c r="AA134" s="1659"/>
      <c r="AB134" s="1659"/>
      <c r="AC134" s="1659"/>
      <c r="AD134" s="1658"/>
      <c r="AE134" s="1658"/>
      <c r="AF134" s="1658"/>
      <c r="AG134" s="1658"/>
      <c r="AH134" s="1658"/>
      <c r="AI134" s="1658"/>
      <c r="AJ134" s="1658"/>
      <c r="AK134" s="1658"/>
      <c r="AL134" s="1658"/>
      <c r="AM134" s="1658"/>
      <c r="AN134" s="1658"/>
      <c r="AO134" s="1658"/>
      <c r="AP134" s="1658"/>
      <c r="AQ134" s="1658"/>
      <c r="AR134" s="1658"/>
      <c r="AS134" s="1658"/>
      <c r="AT134" s="1658"/>
      <c r="AU134" s="1658"/>
      <c r="AV134" s="1658"/>
      <c r="AW134" s="1658"/>
      <c r="AX134" s="1658"/>
      <c r="AY134" s="1658"/>
      <c r="AZ134" s="1658"/>
      <c r="BA134" s="1658"/>
      <c r="BB134" s="1658"/>
    </row>
    <row r="135" spans="1:54" ht="20.25" customHeight="1" thickBot="1" x14ac:dyDescent="0.3">
      <c r="A135" s="262"/>
      <c r="B135" s="2067"/>
      <c r="C135" s="2080"/>
      <c r="D135" s="2082"/>
      <c r="E135" s="2082"/>
      <c r="F135" s="2076"/>
      <c r="G135" s="1776">
        <f>'Звіт  7,8'!F14/1000</f>
        <v>2691.107</v>
      </c>
      <c r="H135" s="1975">
        <f>'Звіт  7,8'!K21</f>
        <v>119</v>
      </c>
      <c r="I135" s="1872"/>
      <c r="J135" s="1872"/>
      <c r="K135" s="1651"/>
      <c r="L135" s="1803"/>
      <c r="M135" s="1803"/>
      <c r="N135" s="1803"/>
      <c r="O135" s="1803"/>
      <c r="P135" s="1659"/>
      <c r="Q135" s="1659"/>
      <c r="R135" s="1659"/>
      <c r="S135" s="1659"/>
      <c r="T135" s="1659"/>
      <c r="U135" s="1659"/>
      <c r="V135" s="1659"/>
      <c r="W135" s="1659"/>
      <c r="X135" s="1659"/>
      <c r="Y135" s="1659"/>
      <c r="Z135" s="1659"/>
      <c r="AA135" s="1659"/>
      <c r="AB135" s="1659"/>
      <c r="AC135" s="1659"/>
      <c r="AD135" s="1658"/>
      <c r="AE135" s="1658"/>
      <c r="AF135" s="1658"/>
      <c r="AG135" s="1658"/>
      <c r="AH135" s="1658"/>
      <c r="AI135" s="1658"/>
      <c r="AJ135" s="1658"/>
      <c r="AK135" s="1658"/>
      <c r="AL135" s="1658"/>
      <c r="AM135" s="1658"/>
      <c r="AN135" s="1658"/>
      <c r="AO135" s="1658"/>
      <c r="AP135" s="1658"/>
      <c r="AQ135" s="1658"/>
      <c r="AR135" s="1658"/>
      <c r="AS135" s="1658"/>
      <c r="AT135" s="1658"/>
      <c r="AU135" s="1658"/>
      <c r="AV135" s="1658"/>
      <c r="AW135" s="1658"/>
      <c r="AX135" s="1658"/>
      <c r="AY135" s="1658"/>
      <c r="AZ135" s="1658"/>
      <c r="BA135" s="1658"/>
      <c r="BB135" s="1658"/>
    </row>
    <row r="136" spans="1:54" ht="76.5" customHeight="1" x14ac:dyDescent="0.25">
      <c r="A136" s="262"/>
      <c r="B136" s="2066" t="s">
        <v>413</v>
      </c>
      <c r="C136" s="2068" t="s">
        <v>822</v>
      </c>
      <c r="D136" s="2070" t="s">
        <v>343</v>
      </c>
      <c r="E136" s="2070" t="s">
        <v>349</v>
      </c>
      <c r="F136" s="2072" t="str">
        <f>IF('Звіт   4,5,6'!E39=0,"Дані не введено",IF(OR(AND(I137&gt;0,G137&gt;0,H137&gt;0),AND(I137&gt;0,G137&gt;0,H137=0),AND(I137&gt;0,G137=0,H137&gt;0),AND(I137=0,G137=0,H137=0),AND(H139&gt;0,I139&gt;0,G139=0),AND(H139&gt;0,I139&gt;0,G139&gt;0)),"ПРАВДА","ПОМИЛКА"))</f>
        <v>ПРАВДА</v>
      </c>
      <c r="G136" s="1706" t="s">
        <v>380</v>
      </c>
      <c r="H136" s="1706" t="s">
        <v>819</v>
      </c>
      <c r="I136" s="1976" t="s">
        <v>382</v>
      </c>
      <c r="J136" s="1726"/>
      <c r="K136" s="1651"/>
      <c r="L136" s="1803"/>
      <c r="M136" s="1803"/>
      <c r="N136" s="1803"/>
      <c r="O136" s="1803"/>
      <c r="P136" s="1659"/>
      <c r="Q136" s="1659"/>
      <c r="R136" s="1659"/>
      <c r="S136" s="1659"/>
      <c r="T136" s="1659"/>
      <c r="U136" s="1659"/>
      <c r="V136" s="1659"/>
      <c r="W136" s="1659"/>
      <c r="X136" s="1659"/>
      <c r="Y136" s="1659"/>
      <c r="Z136" s="1659"/>
      <c r="AA136" s="1659"/>
      <c r="AB136" s="1659"/>
      <c r="AC136" s="1659"/>
      <c r="AD136" s="1658"/>
      <c r="AE136" s="1658"/>
      <c r="AF136" s="1658"/>
      <c r="AG136" s="1658"/>
      <c r="AH136" s="1658"/>
      <c r="AI136" s="1658"/>
      <c r="AJ136" s="1658"/>
      <c r="AK136" s="1658"/>
      <c r="AL136" s="1658"/>
      <c r="AM136" s="1658"/>
      <c r="AN136" s="1658"/>
      <c r="AO136" s="1658"/>
      <c r="AP136" s="1658"/>
      <c r="AQ136" s="1658"/>
      <c r="AR136" s="1658"/>
      <c r="AS136" s="1658"/>
      <c r="AT136" s="1658"/>
      <c r="AU136" s="1658"/>
      <c r="AV136" s="1658"/>
      <c r="AW136" s="1658"/>
      <c r="AX136" s="1658"/>
      <c r="AY136" s="1658"/>
      <c r="AZ136" s="1658"/>
      <c r="BA136" s="1658"/>
      <c r="BB136" s="1658"/>
    </row>
    <row r="137" spans="1:54" ht="19.5" thickBot="1" x14ac:dyDescent="0.3">
      <c r="A137" s="262"/>
      <c r="B137" s="2067"/>
      <c r="C137" s="2069"/>
      <c r="D137" s="2071"/>
      <c r="E137" s="2071"/>
      <c r="F137" s="2065"/>
      <c r="G137" s="1981">
        <f>'Звіт  7,8'!J15/1000</f>
        <v>861.827</v>
      </c>
      <c r="H137" s="1977">
        <f>'Звіт  7,8'!N15/1000</f>
        <v>0</v>
      </c>
      <c r="I137" s="1978">
        <f>'Звіт  7,8'!L21</f>
        <v>153</v>
      </c>
      <c r="J137" s="1726"/>
      <c r="K137" s="1651"/>
      <c r="L137" s="1803"/>
      <c r="M137" s="1803"/>
      <c r="N137" s="1803"/>
      <c r="O137" s="1803"/>
      <c r="P137" s="1659"/>
      <c r="Q137" s="1659"/>
      <c r="R137" s="1659"/>
      <c r="S137" s="1659"/>
      <c r="T137" s="1659"/>
      <c r="U137" s="1659"/>
      <c r="V137" s="1659"/>
      <c r="W137" s="1659"/>
      <c r="X137" s="1659"/>
      <c r="Y137" s="1659"/>
      <c r="Z137" s="1659"/>
      <c r="AA137" s="1659"/>
      <c r="AB137" s="1659"/>
      <c r="AC137" s="1659"/>
      <c r="AD137" s="1658"/>
      <c r="AE137" s="1658"/>
      <c r="AF137" s="1658"/>
      <c r="AG137" s="1658"/>
      <c r="AH137" s="1658"/>
      <c r="AI137" s="1658"/>
      <c r="AJ137" s="1658"/>
      <c r="AK137" s="1658"/>
      <c r="AL137" s="1658"/>
      <c r="AM137" s="1658"/>
      <c r="AN137" s="1658"/>
      <c r="AO137" s="1658"/>
      <c r="AP137" s="1658"/>
      <c r="AQ137" s="1658"/>
      <c r="AR137" s="1658"/>
      <c r="AS137" s="1658"/>
      <c r="AT137" s="1658"/>
      <c r="AU137" s="1658"/>
      <c r="AV137" s="1658"/>
      <c r="AW137" s="1658"/>
      <c r="AX137" s="1658"/>
      <c r="AY137" s="1658"/>
      <c r="AZ137" s="1658"/>
      <c r="BA137" s="1658"/>
      <c r="BB137" s="1658"/>
    </row>
    <row r="138" spans="1:54" ht="56.25" x14ac:dyDescent="0.25">
      <c r="A138" s="262"/>
      <c r="B138" s="2066" t="s">
        <v>414</v>
      </c>
      <c r="C138" s="2068" t="s">
        <v>823</v>
      </c>
      <c r="D138" s="2070" t="s">
        <v>343</v>
      </c>
      <c r="E138" s="2070" t="s">
        <v>349</v>
      </c>
      <c r="F138" s="2072" t="str">
        <f>IF('Звіт   4,5,6'!E39=0,"Дані не введено",IF(OR(AND(I139&gt;0,G139&gt;0,H139&gt;0),AND(I139&gt;0,G139&gt;0,H139=0),AND(I139&gt;0,G139=0,H139&gt;0),AND(I139=0,G139=0,H139=0),AND(F136="ПРАВДА",G139=0,H139&gt;0,I139=0)),"ПРАВДА","ПОМИЛКА"))</f>
        <v>ПРАВДА</v>
      </c>
      <c r="G138" s="1706" t="s">
        <v>531</v>
      </c>
      <c r="H138" s="1706" t="s">
        <v>819</v>
      </c>
      <c r="I138" s="1976" t="s">
        <v>381</v>
      </c>
      <c r="J138" s="1726"/>
      <c r="K138" s="1651"/>
      <c r="L138" s="1803"/>
      <c r="M138" s="1803"/>
      <c r="N138" s="1803"/>
      <c r="O138" s="1803"/>
      <c r="P138" s="1659"/>
      <c r="Q138" s="1659"/>
      <c r="R138" s="1659"/>
      <c r="S138" s="1659"/>
      <c r="T138" s="1659"/>
      <c r="U138" s="1659"/>
      <c r="V138" s="1659"/>
      <c r="W138" s="1659"/>
      <c r="X138" s="1659"/>
      <c r="Y138" s="1659"/>
      <c r="Z138" s="1659"/>
      <c r="AA138" s="1659"/>
      <c r="AB138" s="1659"/>
      <c r="AC138" s="1659"/>
      <c r="AD138" s="1658"/>
      <c r="AE138" s="1658"/>
      <c r="AF138" s="1658"/>
      <c r="AG138" s="1658"/>
      <c r="AH138" s="1658"/>
      <c r="AI138" s="1658"/>
      <c r="AJ138" s="1658"/>
      <c r="AK138" s="1658"/>
      <c r="AL138" s="1658"/>
      <c r="AM138" s="1658"/>
      <c r="AN138" s="1658"/>
      <c r="AO138" s="1658"/>
      <c r="AP138" s="1658"/>
      <c r="AQ138" s="1658"/>
      <c r="AR138" s="1658"/>
      <c r="AS138" s="1658"/>
      <c r="AT138" s="1658"/>
      <c r="AU138" s="1658"/>
      <c r="AV138" s="1658"/>
      <c r="AW138" s="1658"/>
      <c r="AX138" s="1658"/>
      <c r="AY138" s="1658"/>
      <c r="AZ138" s="1658"/>
      <c r="BA138" s="1658"/>
      <c r="BB138" s="1658"/>
    </row>
    <row r="139" spans="1:54" ht="19.5" thickBot="1" x14ac:dyDescent="0.3">
      <c r="A139" s="262"/>
      <c r="B139" s="2073"/>
      <c r="C139" s="2074"/>
      <c r="D139" s="2075"/>
      <c r="E139" s="2075"/>
      <c r="F139" s="2076"/>
      <c r="G139" s="1984">
        <f>'Звіт  7,8'!H15/1000</f>
        <v>2817.9070000000002</v>
      </c>
      <c r="H139" s="1985">
        <f>H137</f>
        <v>0</v>
      </c>
      <c r="I139" s="1986">
        <f>'Звіт  7,8'!M21</f>
        <v>6</v>
      </c>
      <c r="J139" s="1726"/>
      <c r="K139" s="1651"/>
      <c r="L139" s="1803"/>
      <c r="M139" s="1803"/>
      <c r="N139" s="1803"/>
      <c r="O139" s="1803"/>
      <c r="P139" s="1659"/>
      <c r="Q139" s="1659"/>
      <c r="R139" s="1659"/>
      <c r="S139" s="1659"/>
      <c r="T139" s="1659"/>
      <c r="U139" s="1659"/>
      <c r="V139" s="1659"/>
      <c r="W139" s="1659"/>
      <c r="X139" s="1659"/>
      <c r="Y139" s="1659"/>
      <c r="Z139" s="1659"/>
      <c r="AA139" s="1659"/>
      <c r="AB139" s="1659"/>
      <c r="AC139" s="1659"/>
      <c r="AD139" s="1658"/>
      <c r="AE139" s="1658"/>
      <c r="AF139" s="1658"/>
      <c r="AG139" s="1658"/>
      <c r="AH139" s="1658"/>
      <c r="AI139" s="1658"/>
      <c r="AJ139" s="1658"/>
      <c r="AK139" s="1658"/>
      <c r="AL139" s="1658"/>
      <c r="AM139" s="1658"/>
      <c r="AN139" s="1658"/>
      <c r="AO139" s="1658"/>
      <c r="AP139" s="1658"/>
      <c r="AQ139" s="1658"/>
      <c r="AR139" s="1658"/>
      <c r="AS139" s="1658"/>
      <c r="AT139" s="1658"/>
      <c r="AU139" s="1658"/>
      <c r="AV139" s="1658"/>
      <c r="AW139" s="1658"/>
      <c r="AX139" s="1658"/>
      <c r="AY139" s="1658"/>
      <c r="AZ139" s="1658"/>
      <c r="BA139" s="1658"/>
      <c r="BB139" s="1658"/>
    </row>
    <row r="140" spans="1:54" s="1441" customFormat="1" ht="38.25" customHeight="1" x14ac:dyDescent="0.25">
      <c r="A140" s="262"/>
      <c r="B140" s="1987"/>
      <c r="C140" s="1988"/>
      <c r="D140" s="1745"/>
      <c r="E140" s="1745"/>
      <c r="F140" s="1645"/>
      <c r="G140" s="1989"/>
      <c r="H140" s="1990"/>
      <c r="I140" s="2156" t="s">
        <v>1767</v>
      </c>
      <c r="J140" s="2157"/>
      <c r="K140" s="1991"/>
      <c r="L140" s="1803"/>
      <c r="M140" s="1803"/>
      <c r="N140" s="1803"/>
      <c r="O140" s="1803"/>
      <c r="P140" s="1659"/>
      <c r="Q140" s="1659"/>
      <c r="R140" s="1659"/>
      <c r="S140" s="1659"/>
      <c r="T140" s="1659"/>
      <c r="U140" s="1659"/>
      <c r="V140" s="1659"/>
      <c r="W140" s="1659"/>
      <c r="X140" s="1659"/>
      <c r="Y140" s="1659"/>
      <c r="Z140" s="1659"/>
      <c r="AA140" s="1659"/>
      <c r="AB140" s="1659"/>
      <c r="AC140" s="1659"/>
      <c r="AD140" s="1658"/>
      <c r="AE140" s="1658"/>
      <c r="AF140" s="1658"/>
      <c r="AG140" s="1658"/>
      <c r="AH140" s="1658"/>
      <c r="AI140" s="1658"/>
      <c r="AJ140" s="1658"/>
      <c r="AK140" s="1658"/>
      <c r="AL140" s="1658"/>
      <c r="AM140" s="1658"/>
      <c r="AN140" s="1658"/>
      <c r="AO140" s="1658"/>
      <c r="AP140" s="1658"/>
      <c r="AQ140" s="1658"/>
      <c r="AR140" s="1658"/>
      <c r="AS140" s="1658"/>
      <c r="AT140" s="1658"/>
      <c r="AU140" s="1658"/>
      <c r="AV140" s="1658"/>
      <c r="AW140" s="1658"/>
      <c r="AX140" s="1658"/>
      <c r="AY140" s="1658"/>
      <c r="AZ140" s="1658"/>
      <c r="BA140" s="1658"/>
      <c r="BB140" s="1658"/>
    </row>
    <row r="141" spans="1:54" ht="49.5" customHeight="1" x14ac:dyDescent="0.25">
      <c r="A141" s="262"/>
      <c r="B141" s="2060" t="s">
        <v>415</v>
      </c>
      <c r="C141" s="2062" t="s">
        <v>1740</v>
      </c>
      <c r="D141" s="2063" t="s">
        <v>343</v>
      </c>
      <c r="E141" s="2063" t="s">
        <v>349</v>
      </c>
      <c r="F141" s="2064" t="str">
        <f>IF('Звіт   4,5,6'!E39=0,"Дані не введено",IF(AND(G142&gt;0,H142&gt;=80,I142&gt;J142,'Звіт  7,8'!F29&lt;1000000,'Звіт  7,8'!G29&lt;1000000),"ПРАВДА","ПОМИЛКА"))</f>
        <v>ПРАВДА</v>
      </c>
      <c r="G141" s="1875" t="s">
        <v>1741</v>
      </c>
      <c r="H141" s="1793" t="s">
        <v>1739</v>
      </c>
      <c r="I141" s="1793" t="str">
        <f>'Звіт  7,8'!I26</f>
        <v>Середній медичний персонал</v>
      </c>
      <c r="J141" s="1811" t="str">
        <f>'Звіт  7,8'!J26</f>
        <v>Молодший медичний персонал</v>
      </c>
      <c r="K141" s="1992"/>
      <c r="L141" s="1803"/>
      <c r="M141" s="1803"/>
      <c r="N141" s="1803"/>
      <c r="O141" s="1803"/>
      <c r="P141" s="1659"/>
      <c r="Q141" s="1659"/>
      <c r="R141" s="1659"/>
      <c r="S141" s="1659"/>
      <c r="T141" s="1659"/>
      <c r="U141" s="1659"/>
      <c r="V141" s="1659"/>
      <c r="W141" s="1659"/>
      <c r="X141" s="1659"/>
      <c r="Y141" s="1659"/>
      <c r="Z141" s="1659"/>
      <c r="AA141" s="1659"/>
      <c r="AB141" s="1659"/>
      <c r="AC141" s="1659"/>
      <c r="AD141" s="1658"/>
      <c r="AE141" s="1658"/>
      <c r="AF141" s="1658"/>
      <c r="AG141" s="1658"/>
      <c r="AH141" s="1658"/>
      <c r="AI141" s="1658"/>
      <c r="AJ141" s="1658"/>
      <c r="AK141" s="1658"/>
      <c r="AL141" s="1658"/>
      <c r="AM141" s="1658"/>
      <c r="AN141" s="1658"/>
      <c r="AO141" s="1658"/>
      <c r="AP141" s="1658"/>
      <c r="AQ141" s="1658"/>
      <c r="AR141" s="1658"/>
      <c r="AS141" s="1658"/>
      <c r="AT141" s="1658"/>
      <c r="AU141" s="1658"/>
      <c r="AV141" s="1658"/>
      <c r="AW141" s="1658"/>
      <c r="AX141" s="1658"/>
      <c r="AY141" s="1658"/>
      <c r="AZ141" s="1658"/>
      <c r="BA141" s="1658"/>
      <c r="BB141" s="1658"/>
    </row>
    <row r="142" spans="1:54" ht="30" customHeight="1" thickBot="1" x14ac:dyDescent="0.3">
      <c r="A142" s="262"/>
      <c r="B142" s="2061"/>
      <c r="C142" s="2053"/>
      <c r="D142" s="2037"/>
      <c r="E142" s="2037"/>
      <c r="F142" s="2065"/>
      <c r="G142" s="1993">
        <f>'Звіт  7,8'!N21</f>
        <v>254426</v>
      </c>
      <c r="H142" s="1994">
        <f>'Звіт  7,8'!E22*100/'Звіт  7,8'!E21</f>
        <v>98.613518197573654</v>
      </c>
      <c r="I142" s="1994">
        <f>'Звіт  7,8'!I29</f>
        <v>10561.10701754386</v>
      </c>
      <c r="J142" s="1787">
        <f>'Звіт  7,8'!J29</f>
        <v>7538.1148459383758</v>
      </c>
      <c r="K142" s="1992"/>
      <c r="L142" s="1803"/>
      <c r="M142" s="1803"/>
      <c r="N142" s="1803"/>
      <c r="O142" s="1803"/>
      <c r="P142" s="1659"/>
      <c r="Q142" s="1659"/>
      <c r="R142" s="1659"/>
      <c r="S142" s="1659"/>
      <c r="T142" s="1659"/>
      <c r="U142" s="1659"/>
      <c r="V142" s="1659"/>
      <c r="W142" s="1659"/>
      <c r="X142" s="1659"/>
      <c r="Y142" s="1659"/>
      <c r="Z142" s="1659"/>
      <c r="AA142" s="1659"/>
      <c r="AB142" s="1659"/>
      <c r="AC142" s="1659"/>
      <c r="AD142" s="1658"/>
      <c r="AE142" s="1658"/>
      <c r="AF142" s="1658"/>
      <c r="AG142" s="1658"/>
      <c r="AH142" s="1658"/>
      <c r="AI142" s="1658"/>
      <c r="AJ142" s="1658"/>
      <c r="AK142" s="1658"/>
      <c r="AL142" s="1658"/>
      <c r="AM142" s="1658"/>
      <c r="AN142" s="1658"/>
      <c r="AO142" s="1658"/>
      <c r="AP142" s="1658"/>
      <c r="AQ142" s="1658"/>
      <c r="AR142" s="1658"/>
      <c r="AS142" s="1658"/>
      <c r="AT142" s="1658"/>
      <c r="AU142" s="1658"/>
      <c r="AV142" s="1658"/>
      <c r="AW142" s="1658"/>
      <c r="AX142" s="1658"/>
      <c r="AY142" s="1658"/>
      <c r="AZ142" s="1658"/>
      <c r="BA142" s="1658"/>
      <c r="BB142" s="1658"/>
    </row>
    <row r="143" spans="1:54" x14ac:dyDescent="0.3">
      <c r="B143" s="1658"/>
      <c r="C143" s="1658"/>
      <c r="D143" s="1995"/>
      <c r="E143" s="1995"/>
      <c r="F143" s="1658"/>
      <c r="G143" s="1658"/>
      <c r="H143" s="1658"/>
      <c r="I143" s="1658"/>
      <c r="J143" s="1791"/>
      <c r="K143" s="1658"/>
      <c r="L143" s="1658"/>
      <c r="M143" s="1658"/>
      <c r="N143" s="1658"/>
      <c r="O143" s="1658"/>
      <c r="P143" s="1658"/>
      <c r="Q143" s="1658"/>
      <c r="R143" s="1658"/>
      <c r="S143" s="1658"/>
      <c r="T143" s="1658"/>
      <c r="U143" s="1658"/>
      <c r="V143" s="1658"/>
      <c r="W143" s="1658"/>
      <c r="X143" s="1658"/>
      <c r="Y143" s="1658"/>
      <c r="Z143" s="1658"/>
      <c r="AA143" s="1658"/>
      <c r="AB143" s="1658"/>
      <c r="AC143" s="1658"/>
      <c r="AD143" s="1658"/>
      <c r="AE143" s="1658"/>
      <c r="AF143" s="1658"/>
      <c r="AG143" s="1658"/>
      <c r="AH143" s="1658"/>
      <c r="AI143" s="1658"/>
      <c r="AJ143" s="1658"/>
      <c r="AK143" s="1658"/>
      <c r="AL143" s="1658"/>
      <c r="AM143" s="1658"/>
      <c r="AN143" s="1658"/>
      <c r="AO143" s="1658"/>
      <c r="AP143" s="1658"/>
      <c r="AQ143" s="1658"/>
      <c r="AR143" s="1658"/>
      <c r="AS143" s="1658"/>
      <c r="AT143" s="1658"/>
      <c r="AU143" s="1658"/>
      <c r="AV143" s="1658"/>
      <c r="AW143" s="1658"/>
      <c r="AX143" s="1658"/>
      <c r="AY143" s="1658"/>
      <c r="AZ143" s="1658"/>
      <c r="BA143" s="1658"/>
      <c r="BB143" s="1658"/>
    </row>
    <row r="144" spans="1:54" x14ac:dyDescent="0.3">
      <c r="B144" s="1658"/>
      <c r="C144" s="1658"/>
      <c r="D144" s="1995"/>
      <c r="E144" s="1995"/>
      <c r="F144" s="1658"/>
      <c r="G144" s="1658"/>
      <c r="H144" s="1658"/>
      <c r="I144" s="1658"/>
      <c r="J144" s="1658"/>
      <c r="K144" s="1658"/>
      <c r="L144" s="1658"/>
      <c r="M144" s="1658"/>
      <c r="N144" s="1658"/>
      <c r="O144" s="1658"/>
      <c r="P144" s="1658"/>
      <c r="Q144" s="1658"/>
      <c r="R144" s="1658"/>
      <c r="S144" s="1658"/>
      <c r="T144" s="1658"/>
      <c r="U144" s="1658"/>
      <c r="V144" s="1658"/>
      <c r="W144" s="1658"/>
      <c r="X144" s="1658"/>
      <c r="Y144" s="1658"/>
      <c r="Z144" s="1658"/>
      <c r="AA144" s="1658"/>
      <c r="AB144" s="1658"/>
      <c r="AC144" s="1658"/>
      <c r="AD144" s="1658"/>
      <c r="AE144" s="1658"/>
      <c r="AF144" s="1658"/>
      <c r="AG144" s="1658"/>
      <c r="AH144" s="1658"/>
      <c r="AI144" s="1658"/>
      <c r="AJ144" s="1658"/>
      <c r="AK144" s="1658"/>
      <c r="AL144" s="1658"/>
      <c r="AM144" s="1658"/>
      <c r="AN144" s="1658"/>
      <c r="AO144" s="1658"/>
      <c r="AP144" s="1658"/>
      <c r="AQ144" s="1658"/>
      <c r="AR144" s="1658"/>
      <c r="AS144" s="1658"/>
      <c r="AT144" s="1658"/>
      <c r="AU144" s="1658"/>
      <c r="AV144" s="1658"/>
      <c r="AW144" s="1658"/>
      <c r="AX144" s="1658"/>
      <c r="AY144" s="1658"/>
      <c r="AZ144" s="1658"/>
      <c r="BA144" s="1658"/>
      <c r="BB144" s="1658"/>
    </row>
    <row r="145" spans="2:54" x14ac:dyDescent="0.3">
      <c r="B145" s="1658"/>
      <c r="C145" s="1658"/>
      <c r="D145" s="1995"/>
      <c r="E145" s="1995"/>
      <c r="F145" s="1658"/>
      <c r="G145" s="1658"/>
      <c r="H145" s="1658"/>
      <c r="I145" s="1658"/>
      <c r="J145" s="1658"/>
      <c r="K145" s="1658"/>
      <c r="L145" s="1658"/>
      <c r="M145" s="1658"/>
      <c r="N145" s="1658"/>
      <c r="O145" s="1658"/>
      <c r="P145" s="1658"/>
      <c r="Q145" s="1658"/>
      <c r="R145" s="1658"/>
      <c r="S145" s="1658"/>
      <c r="T145" s="1658"/>
      <c r="U145" s="1658"/>
      <c r="V145" s="1658"/>
      <c r="W145" s="1658"/>
      <c r="X145" s="1658"/>
      <c r="Y145" s="1658"/>
      <c r="Z145" s="1658"/>
      <c r="AA145" s="1658"/>
      <c r="AB145" s="1658"/>
      <c r="AC145" s="1658"/>
      <c r="AD145" s="1658"/>
      <c r="AE145" s="1658"/>
      <c r="AF145" s="1658"/>
      <c r="AG145" s="1658"/>
      <c r="AH145" s="1658"/>
      <c r="AI145" s="1658"/>
      <c r="AJ145" s="1658"/>
      <c r="AK145" s="1658"/>
      <c r="AL145" s="1658"/>
      <c r="AM145" s="1658"/>
      <c r="AN145" s="1658"/>
      <c r="AO145" s="1658"/>
      <c r="AP145" s="1658"/>
      <c r="AQ145" s="1658"/>
      <c r="AR145" s="1658"/>
      <c r="AS145" s="1658"/>
      <c r="AT145" s="1658"/>
      <c r="AU145" s="1658"/>
      <c r="AV145" s="1658"/>
      <c r="AW145" s="1658"/>
      <c r="AX145" s="1658"/>
      <c r="AY145" s="1658"/>
      <c r="AZ145" s="1658"/>
      <c r="BA145" s="1658"/>
      <c r="BB145" s="1658"/>
    </row>
    <row r="146" spans="2:54" x14ac:dyDescent="0.3">
      <c r="B146" s="1658"/>
      <c r="C146" s="1658"/>
      <c r="D146" s="1995"/>
      <c r="E146" s="1995"/>
      <c r="F146" s="1658"/>
      <c r="G146" s="1658"/>
      <c r="H146" s="1658"/>
      <c r="I146" s="1658"/>
      <c r="J146" s="1658"/>
      <c r="K146" s="1658"/>
      <c r="L146" s="1658"/>
      <c r="M146" s="1658"/>
      <c r="N146" s="1658"/>
      <c r="O146" s="1658"/>
      <c r="P146" s="1658"/>
      <c r="Q146" s="1658"/>
      <c r="R146" s="1658"/>
      <c r="S146" s="1658"/>
      <c r="T146" s="1658"/>
      <c r="U146" s="1658"/>
      <c r="V146" s="1658"/>
      <c r="W146" s="1658"/>
      <c r="X146" s="1658"/>
      <c r="Y146" s="1658"/>
      <c r="Z146" s="1658"/>
      <c r="AA146" s="1658"/>
      <c r="AB146" s="1658"/>
      <c r="AC146" s="1658"/>
      <c r="AD146" s="1658"/>
      <c r="AE146" s="1658"/>
      <c r="AF146" s="1658"/>
      <c r="AG146" s="1658"/>
      <c r="AH146" s="1658"/>
      <c r="AI146" s="1658"/>
      <c r="AJ146" s="1658"/>
      <c r="AK146" s="1658"/>
      <c r="AL146" s="1658"/>
      <c r="AM146" s="1658"/>
      <c r="AN146" s="1658"/>
      <c r="AO146" s="1658"/>
      <c r="AP146" s="1658"/>
      <c r="AQ146" s="1658"/>
      <c r="AR146" s="1658"/>
      <c r="AS146" s="1658"/>
      <c r="AT146" s="1658"/>
      <c r="AU146" s="1658"/>
      <c r="AV146" s="1658"/>
      <c r="AW146" s="1658"/>
      <c r="AX146" s="1658"/>
      <c r="AY146" s="1658"/>
      <c r="AZ146" s="1658"/>
      <c r="BA146" s="1658"/>
      <c r="BB146" s="1658"/>
    </row>
    <row r="147" spans="2:54" x14ac:dyDescent="0.3">
      <c r="B147" s="1658"/>
      <c r="C147" s="1658"/>
      <c r="D147" s="1995"/>
      <c r="E147" s="1995"/>
      <c r="F147" s="1658"/>
      <c r="G147" s="1658"/>
      <c r="H147" s="1658"/>
      <c r="I147" s="1658"/>
      <c r="J147" s="1658"/>
      <c r="K147" s="1658"/>
      <c r="L147" s="1658"/>
      <c r="M147" s="1658"/>
      <c r="N147" s="1658"/>
      <c r="O147" s="1658"/>
      <c r="P147" s="1658"/>
      <c r="Q147" s="1658"/>
      <c r="R147" s="1658"/>
      <c r="S147" s="1658"/>
      <c r="T147" s="1658"/>
      <c r="U147" s="1658"/>
      <c r="V147" s="1658"/>
      <c r="W147" s="1658"/>
      <c r="X147" s="1658"/>
      <c r="Y147" s="1658"/>
      <c r="Z147" s="1658"/>
      <c r="AA147" s="1658"/>
      <c r="AB147" s="1658"/>
      <c r="AC147" s="1658"/>
      <c r="AD147" s="1658"/>
      <c r="AE147" s="1658"/>
      <c r="AF147" s="1658"/>
      <c r="AG147" s="1658"/>
      <c r="AH147" s="1658"/>
      <c r="AI147" s="1658"/>
      <c r="AJ147" s="1658"/>
      <c r="AK147" s="1658"/>
      <c r="AL147" s="1658"/>
      <c r="AM147" s="1658"/>
      <c r="AN147" s="1658"/>
      <c r="AO147" s="1658"/>
      <c r="AP147" s="1658"/>
      <c r="AQ147" s="1658"/>
      <c r="AR147" s="1658"/>
      <c r="AS147" s="1658"/>
      <c r="AT147" s="1658"/>
      <c r="AU147" s="1658"/>
      <c r="AV147" s="1658"/>
      <c r="AW147" s="1658"/>
      <c r="AX147" s="1658"/>
      <c r="AY147" s="1658"/>
      <c r="AZ147" s="1658"/>
      <c r="BA147" s="1658"/>
      <c r="BB147" s="1658"/>
    </row>
    <row r="148" spans="2:54" x14ac:dyDescent="0.3">
      <c r="B148" s="1658"/>
      <c r="C148" s="1658"/>
      <c r="D148" s="1995"/>
      <c r="E148" s="1995"/>
      <c r="F148" s="1658"/>
      <c r="G148" s="1658"/>
      <c r="H148" s="1658"/>
      <c r="I148" s="1658"/>
      <c r="J148" s="1658"/>
      <c r="K148" s="1658"/>
      <c r="L148" s="1658"/>
      <c r="M148" s="1658"/>
      <c r="N148" s="1658"/>
      <c r="O148" s="1658"/>
      <c r="P148" s="1658"/>
      <c r="Q148" s="1658"/>
      <c r="R148" s="1658"/>
      <c r="S148" s="1658"/>
      <c r="T148" s="1658"/>
      <c r="U148" s="1658"/>
      <c r="V148" s="1658"/>
      <c r="W148" s="1658"/>
      <c r="X148" s="1658"/>
      <c r="Y148" s="1658"/>
      <c r="Z148" s="1658"/>
      <c r="AA148" s="1658"/>
      <c r="AB148" s="1658"/>
      <c r="AC148" s="1658"/>
      <c r="AD148" s="1658"/>
      <c r="AE148" s="1658"/>
      <c r="AF148" s="1658"/>
      <c r="AG148" s="1658"/>
      <c r="AH148" s="1658"/>
      <c r="AI148" s="1658"/>
      <c r="AJ148" s="1658"/>
      <c r="AK148" s="1658"/>
      <c r="AL148" s="1658"/>
      <c r="AM148" s="1658"/>
      <c r="AN148" s="1658"/>
      <c r="AO148" s="1658"/>
      <c r="AP148" s="1658"/>
      <c r="AQ148" s="1658"/>
      <c r="AR148" s="1658"/>
      <c r="AS148" s="1658"/>
      <c r="AT148" s="1658"/>
      <c r="AU148" s="1658"/>
      <c r="AV148" s="1658"/>
      <c r="AW148" s="1658"/>
      <c r="AX148" s="1658"/>
      <c r="AY148" s="1658"/>
      <c r="AZ148" s="1658"/>
      <c r="BA148" s="1658"/>
      <c r="BB148" s="1658"/>
    </row>
    <row r="149" spans="2:54" x14ac:dyDescent="0.3">
      <c r="B149" s="1658"/>
      <c r="C149" s="1658"/>
      <c r="D149" s="1995"/>
      <c r="E149" s="1995"/>
      <c r="F149" s="1658"/>
      <c r="G149" s="1658"/>
      <c r="H149" s="1658"/>
      <c r="I149" s="1658"/>
      <c r="J149" s="1658"/>
      <c r="K149" s="1658"/>
      <c r="L149" s="1658"/>
      <c r="M149" s="1658"/>
      <c r="N149" s="1658"/>
      <c r="O149" s="1658"/>
      <c r="P149" s="1658"/>
      <c r="Q149" s="1658"/>
      <c r="R149" s="1658"/>
      <c r="S149" s="1658"/>
      <c r="T149" s="1658"/>
      <c r="U149" s="1658"/>
      <c r="V149" s="1658"/>
      <c r="W149" s="1658"/>
      <c r="X149" s="1658"/>
      <c r="Y149" s="1658"/>
      <c r="Z149" s="1658"/>
      <c r="AA149" s="1658"/>
      <c r="AB149" s="1658"/>
      <c r="AC149" s="1658"/>
      <c r="AD149" s="1658"/>
      <c r="AE149" s="1658"/>
      <c r="AF149" s="1658"/>
      <c r="AG149" s="1658"/>
      <c r="AH149" s="1658"/>
      <c r="AI149" s="1658"/>
      <c r="AJ149" s="1658"/>
      <c r="AK149" s="1658"/>
      <c r="AL149" s="1658"/>
      <c r="AM149" s="1658"/>
      <c r="AN149" s="1658"/>
      <c r="AO149" s="1658"/>
      <c r="AP149" s="1658"/>
      <c r="AQ149" s="1658"/>
      <c r="AR149" s="1658"/>
      <c r="AS149" s="1658"/>
      <c r="AT149" s="1658"/>
      <c r="AU149" s="1658"/>
      <c r="AV149" s="1658"/>
      <c r="AW149" s="1658"/>
      <c r="AX149" s="1658"/>
      <c r="AY149" s="1658"/>
      <c r="AZ149" s="1658"/>
      <c r="BA149" s="1658"/>
      <c r="BB149" s="1658"/>
    </row>
    <row r="150" spans="2:54" x14ac:dyDescent="0.3">
      <c r="B150" s="1658"/>
      <c r="C150" s="1658"/>
      <c r="D150" s="1995"/>
      <c r="E150" s="1995"/>
      <c r="F150" s="1658"/>
      <c r="G150" s="1658"/>
      <c r="H150" s="1658"/>
      <c r="I150" s="1658"/>
      <c r="J150" s="1658"/>
      <c r="K150" s="1658"/>
      <c r="L150" s="1658"/>
      <c r="M150" s="1658"/>
      <c r="N150" s="1658"/>
      <c r="O150" s="1658"/>
      <c r="P150" s="1658"/>
      <c r="Q150" s="1658"/>
      <c r="R150" s="1658"/>
      <c r="S150" s="1658"/>
      <c r="T150" s="1658"/>
      <c r="U150" s="1658"/>
      <c r="V150" s="1658"/>
      <c r="W150" s="1658"/>
      <c r="X150" s="1658"/>
      <c r="Y150" s="1658"/>
      <c r="Z150" s="1658"/>
      <c r="AA150" s="1658"/>
      <c r="AB150" s="1658"/>
      <c r="AC150" s="1658"/>
      <c r="AD150" s="1658"/>
      <c r="AE150" s="1658"/>
      <c r="AF150" s="1658"/>
      <c r="AG150" s="1658"/>
      <c r="AH150" s="1658"/>
      <c r="AI150" s="1658"/>
      <c r="AJ150" s="1658"/>
      <c r="AK150" s="1658"/>
      <c r="AL150" s="1658"/>
      <c r="AM150" s="1658"/>
      <c r="AN150" s="1658"/>
      <c r="AO150" s="1658"/>
      <c r="AP150" s="1658"/>
      <c r="AQ150" s="1658"/>
      <c r="AR150" s="1658"/>
      <c r="AS150" s="1658"/>
      <c r="AT150" s="1658"/>
      <c r="AU150" s="1658"/>
      <c r="AV150" s="1658"/>
      <c r="AW150" s="1658"/>
      <c r="AX150" s="1658"/>
      <c r="AY150" s="1658"/>
      <c r="AZ150" s="1658"/>
      <c r="BA150" s="1658"/>
      <c r="BB150" s="1658"/>
    </row>
    <row r="151" spans="2:54" x14ac:dyDescent="0.3">
      <c r="B151" s="1658"/>
      <c r="C151" s="1658"/>
      <c r="D151" s="1995"/>
      <c r="E151" s="1995"/>
      <c r="F151" s="1658"/>
      <c r="G151" s="1658"/>
      <c r="H151" s="1658"/>
      <c r="I151" s="1658"/>
      <c r="J151" s="1658"/>
      <c r="K151" s="1658"/>
      <c r="L151" s="1658"/>
      <c r="M151" s="1658"/>
      <c r="N151" s="1658"/>
      <c r="O151" s="1658"/>
      <c r="P151" s="1658"/>
      <c r="Q151" s="1658"/>
      <c r="R151" s="1658"/>
      <c r="S151" s="1658"/>
      <c r="T151" s="1658"/>
      <c r="U151" s="1658"/>
      <c r="V151" s="1658"/>
      <c r="W151" s="1658"/>
      <c r="X151" s="1658"/>
      <c r="Y151" s="1658"/>
      <c r="Z151" s="1658"/>
      <c r="AA151" s="1658"/>
      <c r="AB151" s="1658"/>
      <c r="AC151" s="1658"/>
      <c r="AD151" s="1658"/>
      <c r="AE151" s="1658"/>
      <c r="AF151" s="1658"/>
      <c r="AG151" s="1658"/>
      <c r="AH151" s="1658"/>
      <c r="AI151" s="1658"/>
      <c r="AJ151" s="1658"/>
      <c r="AK151" s="1658"/>
      <c r="AL151" s="1658"/>
      <c r="AM151" s="1658"/>
      <c r="AN151" s="1658"/>
      <c r="AO151" s="1658"/>
      <c r="AP151" s="1658"/>
      <c r="AQ151" s="1658"/>
      <c r="AR151" s="1658"/>
      <c r="AS151" s="1658"/>
      <c r="AT151" s="1658"/>
      <c r="AU151" s="1658"/>
      <c r="AV151" s="1658"/>
      <c r="AW151" s="1658"/>
      <c r="AX151" s="1658"/>
      <c r="AY151" s="1658"/>
      <c r="AZ151" s="1658"/>
      <c r="BA151" s="1658"/>
      <c r="BB151" s="1658"/>
    </row>
    <row r="152" spans="2:54" x14ac:dyDescent="0.3">
      <c r="B152" s="1658"/>
      <c r="C152" s="1658"/>
      <c r="D152" s="1995"/>
      <c r="E152" s="1995"/>
      <c r="F152" s="1658"/>
      <c r="G152" s="1658"/>
      <c r="H152" s="1658"/>
      <c r="I152" s="1658"/>
      <c r="J152" s="1658"/>
      <c r="K152" s="1658"/>
      <c r="L152" s="1658"/>
      <c r="M152" s="1658"/>
      <c r="N152" s="1658"/>
      <c r="O152" s="1658"/>
      <c r="P152" s="1658"/>
      <c r="Q152" s="1658"/>
      <c r="R152" s="1658"/>
      <c r="S152" s="1658"/>
      <c r="T152" s="1658"/>
      <c r="U152" s="1658"/>
      <c r="V152" s="1658"/>
      <c r="W152" s="1658"/>
      <c r="X152" s="1658"/>
      <c r="Y152" s="1658"/>
      <c r="Z152" s="1658"/>
      <c r="AA152" s="1658"/>
      <c r="AB152" s="1658"/>
      <c r="AC152" s="1658"/>
      <c r="AD152" s="1658"/>
      <c r="AE152" s="1658"/>
      <c r="AF152" s="1658"/>
      <c r="AG152" s="1658"/>
      <c r="AH152" s="1658"/>
      <c r="AI152" s="1658"/>
      <c r="AJ152" s="1658"/>
      <c r="AK152" s="1658"/>
      <c r="AL152" s="1658"/>
      <c r="AM152" s="1658"/>
      <c r="AN152" s="1658"/>
      <c r="AO152" s="1658"/>
      <c r="AP152" s="1658"/>
      <c r="AQ152" s="1658"/>
      <c r="AR152" s="1658"/>
      <c r="AS152" s="1658"/>
      <c r="AT152" s="1658"/>
      <c r="AU152" s="1658"/>
      <c r="AV152" s="1658"/>
      <c r="AW152" s="1658"/>
      <c r="AX152" s="1658"/>
      <c r="AY152" s="1658"/>
      <c r="AZ152" s="1658"/>
      <c r="BA152" s="1658"/>
      <c r="BB152" s="1658"/>
    </row>
    <row r="153" spans="2:54" x14ac:dyDescent="0.3">
      <c r="B153" s="1658"/>
      <c r="C153" s="1658"/>
      <c r="D153" s="1995"/>
      <c r="E153" s="1995"/>
      <c r="F153" s="1658"/>
      <c r="G153" s="1658"/>
      <c r="H153" s="1658"/>
      <c r="I153" s="1658"/>
      <c r="J153" s="1658"/>
      <c r="K153" s="1658"/>
      <c r="L153" s="1658"/>
      <c r="M153" s="1658"/>
      <c r="N153" s="1658"/>
      <c r="O153" s="1658"/>
      <c r="P153" s="1658"/>
      <c r="Q153" s="1658"/>
      <c r="R153" s="1658"/>
      <c r="S153" s="1658"/>
      <c r="T153" s="1658"/>
      <c r="U153" s="1658"/>
      <c r="V153" s="1658"/>
      <c r="W153" s="1658"/>
      <c r="X153" s="1658"/>
      <c r="Y153" s="1658"/>
      <c r="Z153" s="1658"/>
      <c r="AA153" s="1658"/>
      <c r="AB153" s="1658"/>
      <c r="AC153" s="1658"/>
      <c r="AD153" s="1658"/>
      <c r="AE153" s="1658"/>
      <c r="AF153" s="1658"/>
      <c r="AG153" s="1658"/>
      <c r="AH153" s="1658"/>
      <c r="AI153" s="1658"/>
      <c r="AJ153" s="1658"/>
      <c r="AK153" s="1658"/>
      <c r="AL153" s="1658"/>
      <c r="AM153" s="1658"/>
      <c r="AN153" s="1658"/>
      <c r="AO153" s="1658"/>
      <c r="AP153" s="1658"/>
      <c r="AQ153" s="1658"/>
      <c r="AR153" s="1658"/>
      <c r="AS153" s="1658"/>
      <c r="AT153" s="1658"/>
      <c r="AU153" s="1658"/>
      <c r="AV153" s="1658"/>
      <c r="AW153" s="1658"/>
      <c r="AX153" s="1658"/>
      <c r="AY153" s="1658"/>
      <c r="AZ153" s="1658"/>
      <c r="BA153" s="1658"/>
      <c r="BB153" s="1658"/>
    </row>
    <row r="154" spans="2:54" x14ac:dyDescent="0.3">
      <c r="B154" s="1658"/>
      <c r="C154" s="1658"/>
      <c r="D154" s="1995"/>
      <c r="E154" s="1995"/>
      <c r="F154" s="1658"/>
      <c r="G154" s="1658"/>
      <c r="H154" s="1658"/>
      <c r="I154" s="1658"/>
      <c r="J154" s="1658"/>
      <c r="K154" s="1658"/>
      <c r="L154" s="1658"/>
      <c r="M154" s="1658"/>
      <c r="N154" s="1658"/>
      <c r="O154" s="1658"/>
      <c r="P154" s="1658"/>
      <c r="Q154" s="1658"/>
      <c r="R154" s="1658"/>
      <c r="S154" s="1658"/>
      <c r="T154" s="1658"/>
      <c r="U154" s="1658"/>
      <c r="V154" s="1658"/>
      <c r="W154" s="1658"/>
      <c r="X154" s="1658"/>
      <c r="Y154" s="1658"/>
      <c r="Z154" s="1658"/>
      <c r="AA154" s="1658"/>
      <c r="AB154" s="1658"/>
      <c r="AC154" s="1658"/>
      <c r="AD154" s="1658"/>
      <c r="AE154" s="1658"/>
      <c r="AF154" s="1658"/>
      <c r="AG154" s="1658"/>
      <c r="AH154" s="1658"/>
      <c r="AI154" s="1658"/>
      <c r="AJ154" s="1658"/>
      <c r="AK154" s="1658"/>
      <c r="AL154" s="1658"/>
      <c r="AM154" s="1658"/>
      <c r="AN154" s="1658"/>
      <c r="AO154" s="1658"/>
      <c r="AP154" s="1658"/>
      <c r="AQ154" s="1658"/>
      <c r="AR154" s="1658"/>
      <c r="AS154" s="1658"/>
      <c r="AT154" s="1658"/>
      <c r="AU154" s="1658"/>
      <c r="AV154" s="1658"/>
      <c r="AW154" s="1658"/>
      <c r="AX154" s="1658"/>
      <c r="AY154" s="1658"/>
      <c r="AZ154" s="1658"/>
      <c r="BA154" s="1658"/>
      <c r="BB154" s="1658"/>
    </row>
  </sheetData>
  <sheetProtection password="FB6B" sheet="1" formatCells="0" formatColumns="0" formatRows="0"/>
  <mergeCells count="321">
    <mergeCell ref="Y63:AB63"/>
    <mergeCell ref="AC63:AF63"/>
    <mergeCell ref="L63:Q63"/>
    <mergeCell ref="T66:U66"/>
    <mergeCell ref="R66:S66"/>
    <mergeCell ref="K24:N24"/>
    <mergeCell ref="P50:P51"/>
    <mergeCell ref="G32:M32"/>
    <mergeCell ref="N32:T32"/>
    <mergeCell ref="P36:V36"/>
    <mergeCell ref="I140:J140"/>
    <mergeCell ref="K5:N5"/>
    <mergeCell ref="G5:J5"/>
    <mergeCell ref="C96:C97"/>
    <mergeCell ref="D96:D97"/>
    <mergeCell ref="E96:E97"/>
    <mergeCell ref="F96:F97"/>
    <mergeCell ref="G13:J13"/>
    <mergeCell ref="F40:F41"/>
    <mergeCell ref="J36:O36"/>
    <mergeCell ref="S86:T86"/>
    <mergeCell ref="J79:L79"/>
    <mergeCell ref="J63:K63"/>
    <mergeCell ref="G67:J67"/>
    <mergeCell ref="K67:L67"/>
    <mergeCell ref="S75:U75"/>
    <mergeCell ref="M67:N67"/>
    <mergeCell ref="R63:X63"/>
    <mergeCell ref="B9:B10"/>
    <mergeCell ref="C9:C10"/>
    <mergeCell ref="D9:D10"/>
    <mergeCell ref="E9:E10"/>
    <mergeCell ref="B11:B12"/>
    <mergeCell ref="B17:B18"/>
    <mergeCell ref="C17:C18"/>
    <mergeCell ref="D17:D18"/>
    <mergeCell ref="E17:E18"/>
    <mergeCell ref="G1:L1"/>
    <mergeCell ref="C2:H2"/>
    <mergeCell ref="C3:H3"/>
    <mergeCell ref="G4:M4"/>
    <mergeCell ref="F9:F10"/>
    <mergeCell ref="F21:F22"/>
    <mergeCell ref="C11:C12"/>
    <mergeCell ref="D11:D12"/>
    <mergeCell ref="E11:E12"/>
    <mergeCell ref="F11:F12"/>
    <mergeCell ref="B6:B7"/>
    <mergeCell ref="B14:B15"/>
    <mergeCell ref="C14:C15"/>
    <mergeCell ref="D14:D15"/>
    <mergeCell ref="E14:E15"/>
    <mergeCell ref="F14:F15"/>
    <mergeCell ref="C6:C7"/>
    <mergeCell ref="D6:D7"/>
    <mergeCell ref="E6:E7"/>
    <mergeCell ref="F6:F7"/>
    <mergeCell ref="F17:F18"/>
    <mergeCell ref="B21:B22"/>
    <mergeCell ref="B19:B20"/>
    <mergeCell ref="C19:C20"/>
    <mergeCell ref="D19:D20"/>
    <mergeCell ref="E19:E20"/>
    <mergeCell ref="F19:F20"/>
    <mergeCell ref="B26:B27"/>
    <mergeCell ref="C26:C27"/>
    <mergeCell ref="D26:D27"/>
    <mergeCell ref="E26:E27"/>
    <mergeCell ref="F26:F27"/>
    <mergeCell ref="C21:C22"/>
    <mergeCell ref="D21:D22"/>
    <mergeCell ref="E21:E22"/>
    <mergeCell ref="B28:B29"/>
    <mergeCell ref="C28:C29"/>
    <mergeCell ref="D28:D29"/>
    <mergeCell ref="E28:E29"/>
    <mergeCell ref="F28:F29"/>
    <mergeCell ref="B46:B47"/>
    <mergeCell ref="C46:C47"/>
    <mergeCell ref="D46:D47"/>
    <mergeCell ref="E46:E47"/>
    <mergeCell ref="F46:F47"/>
    <mergeCell ref="B44:B45"/>
    <mergeCell ref="C44:C45"/>
    <mergeCell ref="D44:D45"/>
    <mergeCell ref="E44:E45"/>
    <mergeCell ref="F44:F45"/>
    <mergeCell ref="B42:B43"/>
    <mergeCell ref="C42:C43"/>
    <mergeCell ref="D42:D43"/>
    <mergeCell ref="E42:E43"/>
    <mergeCell ref="F42:F43"/>
    <mergeCell ref="B48:B49"/>
    <mergeCell ref="C48:C49"/>
    <mergeCell ref="D48:D49"/>
    <mergeCell ref="E48:E49"/>
    <mergeCell ref="F48:F49"/>
    <mergeCell ref="B53:B54"/>
    <mergeCell ref="C53:C54"/>
    <mergeCell ref="D53:D54"/>
    <mergeCell ref="E53:E54"/>
    <mergeCell ref="F53:F54"/>
    <mergeCell ref="B50:B51"/>
    <mergeCell ref="C50:C51"/>
    <mergeCell ref="D50:D51"/>
    <mergeCell ref="E50:E51"/>
    <mergeCell ref="F50:F51"/>
    <mergeCell ref="B55:B56"/>
    <mergeCell ref="C55:C56"/>
    <mergeCell ref="D55:D56"/>
    <mergeCell ref="E55:E56"/>
    <mergeCell ref="F55:F56"/>
    <mergeCell ref="B59:B60"/>
    <mergeCell ref="C59:C60"/>
    <mergeCell ref="D59:D60"/>
    <mergeCell ref="E59:E60"/>
    <mergeCell ref="F59:F60"/>
    <mergeCell ref="B61:B62"/>
    <mergeCell ref="C61:C62"/>
    <mergeCell ref="D61:D62"/>
    <mergeCell ref="E61:E62"/>
    <mergeCell ref="F61:F62"/>
    <mergeCell ref="B64:B65"/>
    <mergeCell ref="C64:C65"/>
    <mergeCell ref="D64:D65"/>
    <mergeCell ref="E64:E65"/>
    <mergeCell ref="F64:F65"/>
    <mergeCell ref="B67:D67"/>
    <mergeCell ref="B68:B69"/>
    <mergeCell ref="C68:C69"/>
    <mergeCell ref="D68:D69"/>
    <mergeCell ref="E68:E69"/>
    <mergeCell ref="F68:F69"/>
    <mergeCell ref="B71:B72"/>
    <mergeCell ref="C71:C72"/>
    <mergeCell ref="D71:D72"/>
    <mergeCell ref="E71:E72"/>
    <mergeCell ref="F71:F72"/>
    <mergeCell ref="B73:B74"/>
    <mergeCell ref="C73:C74"/>
    <mergeCell ref="D73:D74"/>
    <mergeCell ref="E73:E74"/>
    <mergeCell ref="F73:F74"/>
    <mergeCell ref="G79:I79"/>
    <mergeCell ref="B78:C78"/>
    <mergeCell ref="G75:L75"/>
    <mergeCell ref="B80:B81"/>
    <mergeCell ref="C80:C81"/>
    <mergeCell ref="D80:D81"/>
    <mergeCell ref="E80:E81"/>
    <mergeCell ref="F80:F81"/>
    <mergeCell ref="B76:B77"/>
    <mergeCell ref="C76:C77"/>
    <mergeCell ref="D76:D77"/>
    <mergeCell ref="E76:E77"/>
    <mergeCell ref="F76:F77"/>
    <mergeCell ref="B83:B84"/>
    <mergeCell ref="C83:C84"/>
    <mergeCell ref="D83:D84"/>
    <mergeCell ref="E83:E84"/>
    <mergeCell ref="D85:D86"/>
    <mergeCell ref="B85:B86"/>
    <mergeCell ref="F83:F84"/>
    <mergeCell ref="C88:C89"/>
    <mergeCell ref="D88:D89"/>
    <mergeCell ref="C85:C86"/>
    <mergeCell ref="F85:F86"/>
    <mergeCell ref="B91:B92"/>
    <mergeCell ref="C91:C92"/>
    <mergeCell ref="D91:D92"/>
    <mergeCell ref="E91:E92"/>
    <mergeCell ref="F91:F92"/>
    <mergeCell ref="B88:B89"/>
    <mergeCell ref="E88:E89"/>
    <mergeCell ref="F88:F89"/>
    <mergeCell ref="B94:B95"/>
    <mergeCell ref="C94:C95"/>
    <mergeCell ref="D94:D95"/>
    <mergeCell ref="E94:E95"/>
    <mergeCell ref="F94:F95"/>
    <mergeCell ref="C98:C99"/>
    <mergeCell ref="D98:D99"/>
    <mergeCell ref="E98:E99"/>
    <mergeCell ref="F98:F99"/>
    <mergeCell ref="B96:B97"/>
    <mergeCell ref="C100:C101"/>
    <mergeCell ref="D100:D101"/>
    <mergeCell ref="E100:E101"/>
    <mergeCell ref="F100:F101"/>
    <mergeCell ref="C102:C103"/>
    <mergeCell ref="D102:D103"/>
    <mergeCell ref="E102:E103"/>
    <mergeCell ref="F102:F103"/>
    <mergeCell ref="E104:E105"/>
    <mergeCell ref="F104:F105"/>
    <mergeCell ref="C106:C107"/>
    <mergeCell ref="D106:D107"/>
    <mergeCell ref="E106:E107"/>
    <mergeCell ref="F106:F107"/>
    <mergeCell ref="C104:C105"/>
    <mergeCell ref="D104:D105"/>
    <mergeCell ref="D108:D109"/>
    <mergeCell ref="B110:B111"/>
    <mergeCell ref="C110:C111"/>
    <mergeCell ref="D110:D111"/>
    <mergeCell ref="F110:F111"/>
    <mergeCell ref="B116:B117"/>
    <mergeCell ref="C116:C117"/>
    <mergeCell ref="C112:C113"/>
    <mergeCell ref="D112:D113"/>
    <mergeCell ref="C108:C109"/>
    <mergeCell ref="E108:E109"/>
    <mergeCell ref="E118:E119"/>
    <mergeCell ref="F118:F119"/>
    <mergeCell ref="F108:F109"/>
    <mergeCell ref="F116:F117"/>
    <mergeCell ref="D116:D117"/>
    <mergeCell ref="E116:E117"/>
    <mergeCell ref="E112:E113"/>
    <mergeCell ref="F112:F113"/>
    <mergeCell ref="E110:E111"/>
    <mergeCell ref="B118:B119"/>
    <mergeCell ref="C118:C119"/>
    <mergeCell ref="D118:D119"/>
    <mergeCell ref="B115:C115"/>
    <mergeCell ref="B112:B113"/>
    <mergeCell ref="B120:B121"/>
    <mergeCell ref="C120:C121"/>
    <mergeCell ref="D120:D121"/>
    <mergeCell ref="E120:E121"/>
    <mergeCell ref="F120:F121"/>
    <mergeCell ref="B122:B123"/>
    <mergeCell ref="C122:C123"/>
    <mergeCell ref="D122:D123"/>
    <mergeCell ref="E122:E123"/>
    <mergeCell ref="F122:F123"/>
    <mergeCell ref="B124:B125"/>
    <mergeCell ref="C124:C125"/>
    <mergeCell ref="D124:D125"/>
    <mergeCell ref="E124:E125"/>
    <mergeCell ref="F124:F125"/>
    <mergeCell ref="F126:F127"/>
    <mergeCell ref="B126:B127"/>
    <mergeCell ref="C126:C127"/>
    <mergeCell ref="D126:D127"/>
    <mergeCell ref="E126:E127"/>
    <mergeCell ref="B128:B129"/>
    <mergeCell ref="C128:C129"/>
    <mergeCell ref="D128:D129"/>
    <mergeCell ref="E128:E129"/>
    <mergeCell ref="F128:F129"/>
    <mergeCell ref="B130:B131"/>
    <mergeCell ref="C130:C131"/>
    <mergeCell ref="D130:D131"/>
    <mergeCell ref="E130:E131"/>
    <mergeCell ref="F130:F131"/>
    <mergeCell ref="C132:C133"/>
    <mergeCell ref="D132:D133"/>
    <mergeCell ref="E132:E133"/>
    <mergeCell ref="F132:F133"/>
    <mergeCell ref="B134:B135"/>
    <mergeCell ref="C134:C135"/>
    <mergeCell ref="D134:D135"/>
    <mergeCell ref="E134:E135"/>
    <mergeCell ref="F134:F135"/>
    <mergeCell ref="X95:AA95"/>
    <mergeCell ref="D136:D137"/>
    <mergeCell ref="E136:E137"/>
    <mergeCell ref="F136:F137"/>
    <mergeCell ref="B138:B139"/>
    <mergeCell ref="C138:C139"/>
    <mergeCell ref="D138:D139"/>
    <mergeCell ref="E138:E139"/>
    <mergeCell ref="F138:F139"/>
    <mergeCell ref="B132:B133"/>
    <mergeCell ref="B141:B142"/>
    <mergeCell ref="C141:C142"/>
    <mergeCell ref="D141:D142"/>
    <mergeCell ref="E141:E142"/>
    <mergeCell ref="F141:F142"/>
    <mergeCell ref="B136:B137"/>
    <mergeCell ref="C136:C137"/>
    <mergeCell ref="B33:B34"/>
    <mergeCell ref="C33:C34"/>
    <mergeCell ref="D33:D34"/>
    <mergeCell ref="E33:E34"/>
    <mergeCell ref="F33:F34"/>
    <mergeCell ref="B40:B41"/>
    <mergeCell ref="C40:C41"/>
    <mergeCell ref="D40:D41"/>
    <mergeCell ref="E40:E41"/>
    <mergeCell ref="C37:C38"/>
    <mergeCell ref="AF95:AI95"/>
    <mergeCell ref="B37:B38"/>
    <mergeCell ref="D37:D38"/>
    <mergeCell ref="E37:E38"/>
    <mergeCell ref="F37:F38"/>
    <mergeCell ref="O90:T90"/>
    <mergeCell ref="G90:N90"/>
    <mergeCell ref="M75:R75"/>
    <mergeCell ref="G87:L87"/>
    <mergeCell ref="E85:E86"/>
    <mergeCell ref="AX90:BA90"/>
    <mergeCell ref="AF94:AI94"/>
    <mergeCell ref="AC93:AI93"/>
    <mergeCell ref="U90:AB90"/>
    <mergeCell ref="O93:T93"/>
    <mergeCell ref="U93:AA93"/>
    <mergeCell ref="X94:AA94"/>
    <mergeCell ref="AC90:AJ90"/>
    <mergeCell ref="AK93:AP93"/>
    <mergeCell ref="G93:N93"/>
    <mergeCell ref="AL90:AQ90"/>
    <mergeCell ref="AR90:AW90"/>
    <mergeCell ref="M86:N86"/>
    <mergeCell ref="G82:L82"/>
    <mergeCell ref="M82:N82"/>
    <mergeCell ref="O82:P82"/>
    <mergeCell ref="Q82:V82"/>
    <mergeCell ref="M87:Q87"/>
    <mergeCell ref="O86:P86"/>
  </mergeCells>
  <conditionalFormatting sqref="F114:F142 F44:F45 F48:F93 F5:F32 F98:F111 F40:F41 F35:F37 V96:V97 X95">
    <cfRule type="containsText" dxfId="479" priority="196" stopIfTrue="1" operator="containsText" text="ПОМИЛКА">
      <formula>NOT(ISERROR(SEARCH("ПОМИЛКА",F5)))</formula>
    </cfRule>
    <cfRule type="containsText" dxfId="478" priority="197" stopIfTrue="1" operator="containsText" text="Увага">
      <formula>NOT(ISERROR(SEARCH("Увага",F5)))</formula>
    </cfRule>
    <cfRule type="containsText" dxfId="477" priority="198" stopIfTrue="1" operator="containsText" text="ПРАВДА">
      <formula>NOT(ISERROR(SEARCH("ПРАВДА",F5)))</formula>
    </cfRule>
  </conditionalFormatting>
  <conditionalFormatting sqref="P72 U72 O77 S72 J12">
    <cfRule type="cellIs" dxfId="476" priority="195" stopIfTrue="1" operator="lessThan">
      <formula>0</formula>
    </cfRule>
  </conditionalFormatting>
  <conditionalFormatting sqref="M84">
    <cfRule type="containsText" dxfId="475" priority="192" stopIfTrue="1" operator="containsText" text="ПОМИЛКА">
      <formula>NOT(ISERROR(SEARCH("ПОМИЛКА",M84)))</formula>
    </cfRule>
    <cfRule type="containsText" dxfId="474" priority="193" stopIfTrue="1" operator="containsText" text="Увага">
      <formula>NOT(ISERROR(SEARCH("Увага",M84)))</formula>
    </cfRule>
    <cfRule type="containsText" dxfId="473" priority="194" stopIfTrue="1" operator="containsText" text="ПРАВДА">
      <formula>NOT(ISERROR(SEARCH("ПРАВДА",M84)))</formula>
    </cfRule>
  </conditionalFormatting>
  <conditionalFormatting sqref="N84:P84">
    <cfRule type="containsText" dxfId="472" priority="189" stopIfTrue="1" operator="containsText" text="ПОМИЛКА">
      <formula>NOT(ISERROR(SEARCH("ПОМИЛКА",N84)))</formula>
    </cfRule>
    <cfRule type="containsText" dxfId="471" priority="190" stopIfTrue="1" operator="containsText" text="Увага">
      <formula>NOT(ISERROR(SEARCH("Увага",N84)))</formula>
    </cfRule>
    <cfRule type="containsText" dxfId="470" priority="191" stopIfTrue="1" operator="containsText" text="ПРАВДА">
      <formula>NOT(ISERROR(SEARCH("ПРАВДА",N84)))</formula>
    </cfRule>
  </conditionalFormatting>
  <conditionalFormatting sqref="M89:O89">
    <cfRule type="containsText" dxfId="469" priority="186" stopIfTrue="1" operator="containsText" text="ПОМИЛКА">
      <formula>NOT(ISERROR(SEARCH("ПОМИЛКА",M89)))</formula>
    </cfRule>
    <cfRule type="containsText" dxfId="468" priority="187" stopIfTrue="1" operator="containsText" text="Увага">
      <formula>NOT(ISERROR(SEARCH("Увага",M89)))</formula>
    </cfRule>
    <cfRule type="containsText" dxfId="467" priority="188" stopIfTrue="1" operator="containsText" text="ПРАВДА">
      <formula>NOT(ISERROR(SEARCH("ПРАВДА",M89)))</formula>
    </cfRule>
  </conditionalFormatting>
  <conditionalFormatting sqref="G111:H111">
    <cfRule type="containsText" dxfId="466" priority="183" stopIfTrue="1" operator="containsText" text="ПОМИЛКА">
      <formula>NOT(ISERROR(SEARCH("ПОМИЛКА",G111)))</formula>
    </cfRule>
    <cfRule type="containsText" dxfId="465" priority="184" stopIfTrue="1" operator="containsText" text="Увага">
      <formula>NOT(ISERROR(SEARCH("Увага",G111)))</formula>
    </cfRule>
    <cfRule type="containsText" dxfId="464" priority="185" stopIfTrue="1" operator="containsText" text="ПРАВДА">
      <formula>NOT(ISERROR(SEARCH("ПРАВДА",G111)))</formula>
    </cfRule>
  </conditionalFormatting>
  <conditionalFormatting sqref="G65:I65">
    <cfRule type="containsText" dxfId="463" priority="180" stopIfTrue="1" operator="containsText" text="ПОМИЛКА">
      <formula>NOT(ISERROR(SEARCH("ПОМИЛКА",G65)))</formula>
    </cfRule>
    <cfRule type="containsText" dxfId="462" priority="181" stopIfTrue="1" operator="containsText" text="Увага">
      <formula>NOT(ISERROR(SEARCH("Увага",G65)))</formula>
    </cfRule>
    <cfRule type="containsText" dxfId="461" priority="182" stopIfTrue="1" operator="containsText" text="ПРАВДА">
      <formula>NOT(ISERROR(SEARCH("ПРАВДА",G65)))</formula>
    </cfRule>
  </conditionalFormatting>
  <conditionalFormatting sqref="O18">
    <cfRule type="containsText" dxfId="460" priority="177" stopIfTrue="1" operator="containsText" text="ПОМИЛКА">
      <formula>NOT(ISERROR(SEARCH("ПОМИЛКА",O18)))</formula>
    </cfRule>
    <cfRule type="containsText" dxfId="459" priority="178" stopIfTrue="1" operator="containsText" text="Увага">
      <formula>NOT(ISERROR(SEARCH("Увага",O18)))</formula>
    </cfRule>
    <cfRule type="containsText" dxfId="458" priority="179" stopIfTrue="1" operator="containsText" text="ПРАВДА">
      <formula>NOT(ISERROR(SEARCH("ПРАВДА",O18)))</formula>
    </cfRule>
  </conditionalFormatting>
  <conditionalFormatting sqref="F112:F113">
    <cfRule type="containsText" dxfId="457" priority="174" stopIfTrue="1" operator="containsText" text="ПОМИЛКА">
      <formula>NOT(ISERROR(SEARCH("ПОМИЛКА",F112)))</formula>
    </cfRule>
    <cfRule type="containsText" dxfId="456" priority="175" stopIfTrue="1" operator="containsText" text="Увага">
      <formula>NOT(ISERROR(SEARCH("Увага",F112)))</formula>
    </cfRule>
    <cfRule type="containsText" dxfId="455" priority="176" stopIfTrue="1" operator="containsText" text="ПРАВДА">
      <formula>NOT(ISERROR(SEARCH("ПРАВДА",F112)))</formula>
    </cfRule>
  </conditionalFormatting>
  <conditionalFormatting sqref="I25">
    <cfRule type="containsText" dxfId="454" priority="171" stopIfTrue="1" operator="containsText" text="ПОМИЛКА">
      <formula>NOT(ISERROR(SEARCH("ПОМИЛКА",I25)))</formula>
    </cfRule>
    <cfRule type="containsText" dxfId="453" priority="172" stopIfTrue="1" operator="containsText" text="Увага">
      <formula>NOT(ISERROR(SEARCH("Увага",I25)))</formula>
    </cfRule>
    <cfRule type="containsText" dxfId="452" priority="173" stopIfTrue="1" operator="containsText" text="ПРАВДА">
      <formula>NOT(ISERROR(SEARCH("ПРАВДА",I25)))</formula>
    </cfRule>
  </conditionalFormatting>
  <conditionalFormatting sqref="J25">
    <cfRule type="containsText" dxfId="451" priority="168" stopIfTrue="1" operator="containsText" text="ПОМИЛКА">
      <formula>NOT(ISERROR(SEARCH("ПОМИЛКА",J25)))</formula>
    </cfRule>
    <cfRule type="containsText" dxfId="450" priority="169" stopIfTrue="1" operator="containsText" text="Увага">
      <formula>NOT(ISERROR(SEARCH("Увага",J25)))</formula>
    </cfRule>
    <cfRule type="containsText" dxfId="449" priority="170" stopIfTrue="1" operator="containsText" text="ПРАВДА">
      <formula>NOT(ISERROR(SEARCH("ПРАВДА",J25)))</formula>
    </cfRule>
  </conditionalFormatting>
  <conditionalFormatting sqref="R77:R78">
    <cfRule type="containsText" dxfId="448" priority="164" stopIfTrue="1" operator="containsText" text="ПОМИЛКА">
      <formula>NOT(ISERROR(SEARCH("ПОМИЛКА",R77)))</formula>
    </cfRule>
    <cfRule type="containsText" dxfId="447" priority="165" stopIfTrue="1" operator="containsText" text="Увага">
      <formula>NOT(ISERROR(SEARCH("Увага",R77)))</formula>
    </cfRule>
    <cfRule type="containsText" dxfId="446" priority="166" stopIfTrue="1" operator="containsText" text="ПРАВДА">
      <formula>NOT(ISERROR(SEARCH("ПРАВДА",R77)))</formula>
    </cfRule>
  </conditionalFormatting>
  <conditionalFormatting sqref="Y65:AF65">
    <cfRule type="cellIs" dxfId="445" priority="163" stopIfTrue="1" operator="lessThan">
      <formula>0</formula>
    </cfRule>
  </conditionalFormatting>
  <conditionalFormatting sqref="J41">
    <cfRule type="containsText" dxfId="444" priority="145" stopIfTrue="1" operator="containsText" text="ПОМИЛКА">
      <formula>NOT(ISERROR(SEARCH("ПОМИЛКА",J41)))</formula>
    </cfRule>
    <cfRule type="containsText" dxfId="443" priority="146" stopIfTrue="1" operator="containsText" text="Увага">
      <formula>NOT(ISERROR(SEARCH("Увага",J41)))</formula>
    </cfRule>
    <cfRule type="containsText" dxfId="442" priority="147" stopIfTrue="1" operator="containsText" text="ПРАВДА">
      <formula>NOT(ISERROR(SEARCH("ПРАВДА",J41)))</formula>
    </cfRule>
  </conditionalFormatting>
  <conditionalFormatting sqref="I41">
    <cfRule type="containsText" dxfId="441" priority="148" stopIfTrue="1" operator="containsText" text="ПОМИЛКА">
      <formula>NOT(ISERROR(SEARCH("ПОМИЛКА",I41)))</formula>
    </cfRule>
    <cfRule type="containsText" dxfId="440" priority="149" stopIfTrue="1" operator="containsText" text="Увага">
      <formula>NOT(ISERROR(SEARCH("Увага",I41)))</formula>
    </cfRule>
    <cfRule type="containsText" dxfId="439" priority="150" stopIfTrue="1" operator="containsText" text="ПРАВДА">
      <formula>NOT(ISERROR(SEARCH("ПРАВДА",I41)))</formula>
    </cfRule>
  </conditionalFormatting>
  <conditionalFormatting sqref="G56:H56">
    <cfRule type="containsText" dxfId="438" priority="142" stopIfTrue="1" operator="containsText" text="ПОМИЛКА">
      <formula>NOT(ISERROR(SEARCH("ПОМИЛКА",G56)))</formula>
    </cfRule>
    <cfRule type="containsText" dxfId="437" priority="143" stopIfTrue="1" operator="containsText" text="Увага">
      <formula>NOT(ISERROR(SEARCH("Увага",G56)))</formula>
    </cfRule>
    <cfRule type="containsText" dxfId="436" priority="144" stopIfTrue="1" operator="containsText" text="ПРАВДА">
      <formula>NOT(ISERROR(SEARCH("ПРАВДА",G56)))</formula>
    </cfRule>
  </conditionalFormatting>
  <conditionalFormatting sqref="F42:F43">
    <cfRule type="containsText" dxfId="435" priority="139" stopIfTrue="1" operator="containsText" text="ПОМИЛКА">
      <formula>NOT(ISERROR(SEARCH("ПОМИЛКА",F42)))</formula>
    </cfRule>
    <cfRule type="containsText" dxfId="434" priority="140" stopIfTrue="1" operator="containsText" text="Увага">
      <formula>NOT(ISERROR(SEARCH("Увага",F42)))</formula>
    </cfRule>
    <cfRule type="containsText" dxfId="433" priority="141" stopIfTrue="1" operator="containsText" text="ПРАВДА">
      <formula>NOT(ISERROR(SEARCH("ПРАВДА",F42)))</formula>
    </cfRule>
  </conditionalFormatting>
  <conditionalFormatting sqref="F46:F47">
    <cfRule type="containsText" dxfId="432" priority="136" stopIfTrue="1" operator="containsText" text="ПОМИЛКА">
      <formula>NOT(ISERROR(SEARCH("ПОМИЛКА",F46)))</formula>
    </cfRule>
    <cfRule type="containsText" dxfId="431" priority="137" stopIfTrue="1" operator="containsText" text="Увага">
      <formula>NOT(ISERROR(SEARCH("Увага",F46)))</formula>
    </cfRule>
    <cfRule type="containsText" dxfId="430" priority="138" stopIfTrue="1" operator="containsText" text="ПРАВДА">
      <formula>NOT(ISERROR(SEARCH("ПРАВДА",F46)))</formula>
    </cfRule>
  </conditionalFormatting>
  <conditionalFormatting sqref="J65">
    <cfRule type="containsText" dxfId="429" priority="133" stopIfTrue="1" operator="containsText" text="ПОМИЛКА">
      <formula>NOT(ISERROR(SEARCH("ПОМИЛКА",J65)))</formula>
    </cfRule>
    <cfRule type="containsText" dxfId="428" priority="134" stopIfTrue="1" operator="containsText" text="Увага">
      <formula>NOT(ISERROR(SEARCH("Увага",J65)))</formula>
    </cfRule>
    <cfRule type="containsText" dxfId="427" priority="135" stopIfTrue="1" operator="containsText" text="ПРАВДА">
      <formula>NOT(ISERROR(SEARCH("ПРАВДА",J65)))</formula>
    </cfRule>
  </conditionalFormatting>
  <conditionalFormatting sqref="K65">
    <cfRule type="containsText" dxfId="426" priority="130" stopIfTrue="1" operator="containsText" text="ПОМИЛКА">
      <formula>NOT(ISERROR(SEARCH("ПОМИЛКА",K65)))</formula>
    </cfRule>
    <cfRule type="containsText" dxfId="425" priority="131" stopIfTrue="1" operator="containsText" text="Увага">
      <formula>NOT(ISERROR(SEARCH("Увага",K65)))</formula>
    </cfRule>
    <cfRule type="containsText" dxfId="424" priority="132" stopIfTrue="1" operator="containsText" text="ПРАВДА">
      <formula>NOT(ISERROR(SEARCH("ПРАВДА",K65)))</formula>
    </cfRule>
  </conditionalFormatting>
  <conditionalFormatting sqref="J2">
    <cfRule type="containsText" dxfId="423" priority="1" stopIfTrue="1" operator="containsText" text="Зелена">
      <formula>NOT(ISERROR(SEARCH("Зелена",J2)))</formula>
    </cfRule>
    <cfRule type="containsText" dxfId="422" priority="2" stopIfTrue="1" operator="containsText" text="Синя">
      <formula>NOT(ISERROR(SEARCH("Синя",J2)))</formula>
    </cfRule>
    <cfRule type="containsText" dxfId="421" priority="3" stopIfTrue="1" operator="containsText" text="Жовта">
      <formula>NOT(ISERROR(SEARCH("Жовта",J2)))</formula>
    </cfRule>
    <cfRule type="containsText" dxfId="315" priority="4" stopIfTrue="1" operator="containsText" text="Червона">
      <formula>NOT(ISERROR(SEARCH("Червона",J2)))</formula>
    </cfRule>
    <cfRule type="containsText" dxfId="314" priority="126" stopIfTrue="1" operator="containsText" text="Зелена">
      <formula>NOT(ISERROR(SEARCH("Зелена",J2)))</formula>
    </cfRule>
    <cfRule type="containsText" dxfId="313" priority="127" stopIfTrue="1" operator="containsText" text="Синя">
      <formula>NOT(ISERROR(SEARCH("Синя",J2)))</formula>
    </cfRule>
    <cfRule type="containsText" dxfId="312" priority="128" stopIfTrue="1" operator="containsText" text="Жовта">
      <formula>NOT(ISERROR(SEARCH("Жовта",J2)))</formula>
    </cfRule>
    <cfRule type="containsText" dxfId="311" priority="129" stopIfTrue="1" operator="containsText" text="Червона">
      <formula>NOT(ISERROR(SEARCH("Червона",J2)))</formula>
    </cfRule>
  </conditionalFormatting>
  <conditionalFormatting sqref="H25">
    <cfRule type="containsText" dxfId="420" priority="123" stopIfTrue="1" operator="containsText" text="ПОМИЛКА">
      <formula>NOT(ISERROR(SEARCH("ПОМИЛКА",H25)))</formula>
    </cfRule>
    <cfRule type="containsText" dxfId="419" priority="124" stopIfTrue="1" operator="containsText" text="Увага">
      <formula>NOT(ISERROR(SEARCH("Увага",H25)))</formula>
    </cfRule>
    <cfRule type="containsText" dxfId="418" priority="125" stopIfTrue="1" operator="containsText" text="ПРАВДА">
      <formula>NOT(ISERROR(SEARCH("ПРАВДА",H25)))</formula>
    </cfRule>
  </conditionalFormatting>
  <conditionalFormatting sqref="F94:F97">
    <cfRule type="containsText" dxfId="417" priority="120" stopIfTrue="1" operator="containsText" text="ПОМИЛКА">
      <formula>NOT(ISERROR(SEARCH("ПОМИЛКА",F94)))</formula>
    </cfRule>
    <cfRule type="containsText" dxfId="416" priority="121" stopIfTrue="1" operator="containsText" text="Увага">
      <formula>NOT(ISERROR(SEARCH("Увага",F94)))</formula>
    </cfRule>
    <cfRule type="containsText" dxfId="415" priority="122" stopIfTrue="1" operator="containsText" text="ПРАВДА">
      <formula>NOT(ISERROR(SEARCH("ПРАВДА",F94)))</formula>
    </cfRule>
  </conditionalFormatting>
  <conditionalFormatting sqref="P89">
    <cfRule type="containsText" dxfId="414" priority="117" stopIfTrue="1" operator="containsText" text="ПОМИЛКА">
      <formula>NOT(ISERROR(SEARCH("ПОМИЛКА",P89)))</formula>
    </cfRule>
    <cfRule type="containsText" dxfId="413" priority="118" stopIfTrue="1" operator="containsText" text="Увага">
      <formula>NOT(ISERROR(SEARCH("Увага",P89)))</formula>
    </cfRule>
    <cfRule type="containsText" dxfId="412" priority="119" stopIfTrue="1" operator="containsText" text="ПРАВДА">
      <formula>NOT(ISERROR(SEARCH("ПРАВДА",P89)))</formula>
    </cfRule>
  </conditionalFormatting>
  <conditionalFormatting sqref="Q89">
    <cfRule type="containsText" dxfId="411" priority="114" stopIfTrue="1" operator="containsText" text="ПОМИЛКА">
      <formula>NOT(ISERROR(SEARCH("ПОМИЛКА",Q89)))</formula>
    </cfRule>
    <cfRule type="containsText" dxfId="410" priority="115" stopIfTrue="1" operator="containsText" text="Увага">
      <formula>NOT(ISERROR(SEARCH("Увага",Q89)))</formula>
    </cfRule>
    <cfRule type="containsText" dxfId="409" priority="116" stopIfTrue="1" operator="containsText" text="ПРАВДА">
      <formula>NOT(ISERROR(SEARCH("ПРАВДА",Q89)))</formula>
    </cfRule>
  </conditionalFormatting>
  <conditionalFormatting sqref="S77:U77">
    <cfRule type="cellIs" dxfId="408" priority="113" operator="lessThan">
      <formula>0</formula>
    </cfRule>
  </conditionalFormatting>
  <conditionalFormatting sqref="F33:F34">
    <cfRule type="containsText" dxfId="407" priority="110" stopIfTrue="1" operator="containsText" text="ПОМИЛКА">
      <formula>NOT(ISERROR(SEARCH("ПОМИЛКА",F33)))</formula>
    </cfRule>
    <cfRule type="containsText" dxfId="406" priority="111" stopIfTrue="1" operator="containsText" text="Увага">
      <formula>NOT(ISERROR(SEARCH("Увага",F33)))</formula>
    </cfRule>
    <cfRule type="containsText" dxfId="405" priority="112" stopIfTrue="1" operator="containsText" text="ПРАВДА">
      <formula>NOT(ISERROR(SEARCH("ПРАВДА",F33)))</formula>
    </cfRule>
  </conditionalFormatting>
  <conditionalFormatting sqref="V84">
    <cfRule type="containsText" dxfId="404" priority="95" stopIfTrue="1" operator="containsText" text="ПОМИЛКА">
      <formula>NOT(ISERROR(SEARCH("ПОМИЛКА",V84)))</formula>
    </cfRule>
    <cfRule type="containsText" dxfId="403" priority="96" stopIfTrue="1" operator="containsText" text="Увага">
      <formula>NOT(ISERROR(SEARCH("Увага",V84)))</formula>
    </cfRule>
    <cfRule type="containsText" dxfId="402" priority="97" stopIfTrue="1" operator="containsText" text="ПРАВДА">
      <formula>NOT(ISERROR(SEARCH("ПРАВДА",V84)))</formula>
    </cfRule>
  </conditionalFormatting>
  <conditionalFormatting sqref="N25">
    <cfRule type="containsText" dxfId="401" priority="92" stopIfTrue="1" operator="containsText" text="ПОМИЛКА">
      <formula>NOT(ISERROR(SEARCH("ПОМИЛКА",N25)))</formula>
    </cfRule>
    <cfRule type="containsText" dxfId="400" priority="93" stopIfTrue="1" operator="containsText" text="Увага">
      <formula>NOT(ISERROR(SEARCH("Увага",N25)))</formula>
    </cfRule>
    <cfRule type="containsText" dxfId="399" priority="94" stopIfTrue="1" operator="containsText" text="ПРАВДА">
      <formula>NOT(ISERROR(SEARCH("ПРАВДА",N25)))</formula>
    </cfRule>
  </conditionalFormatting>
  <conditionalFormatting sqref="BA92">
    <cfRule type="containsText" dxfId="398" priority="86" stopIfTrue="1" operator="containsText" text="ПОМИЛКА">
      <formula>NOT(ISERROR(SEARCH("ПОМИЛКА",BA92)))</formula>
    </cfRule>
    <cfRule type="containsText" dxfId="397" priority="87" stopIfTrue="1" operator="containsText" text="Увага">
      <formula>NOT(ISERROR(SEARCH("Увага",BA92)))</formula>
    </cfRule>
    <cfRule type="containsText" dxfId="396" priority="88" stopIfTrue="1" operator="containsText" text="ПРАВДА">
      <formula>NOT(ISERROR(SEARCH("ПРАВДА",BA92)))</formula>
    </cfRule>
  </conditionalFormatting>
  <conditionalFormatting sqref="AF95">
    <cfRule type="containsText" dxfId="395" priority="83" stopIfTrue="1" operator="containsText" text="ПОМИЛКА">
      <formula>NOT(ISERROR(SEARCH("ПОМИЛКА",AF95)))</formula>
    </cfRule>
    <cfRule type="containsText" dxfId="394" priority="84" stopIfTrue="1" operator="containsText" text="Увага">
      <formula>NOT(ISERROR(SEARCH("Увага",AF95)))</formula>
    </cfRule>
    <cfRule type="containsText" dxfId="393" priority="85" stopIfTrue="1" operator="containsText" text="ПРАВДА">
      <formula>NOT(ISERROR(SEARCH("ПРАВДА",AF95)))</formula>
    </cfRule>
  </conditionalFormatting>
  <conditionalFormatting sqref="O38">
    <cfRule type="containsText" dxfId="392" priority="79" stopIfTrue="1" operator="containsText" text="ПОМИЛКА">
      <formula>NOT(ISERROR(SEARCH("ПОМИЛКА",O38)))</formula>
    </cfRule>
    <cfRule type="containsText" dxfId="391" priority="80" stopIfTrue="1" operator="containsText" text="Увага">
      <formula>NOT(ISERROR(SEARCH("Увага",O38)))</formula>
    </cfRule>
    <cfRule type="containsText" dxfId="390" priority="81" stopIfTrue="1" operator="containsText" text="ПРАВДА">
      <formula>NOT(ISERROR(SEARCH("ПРАВДА",O38)))</formula>
    </cfRule>
  </conditionalFormatting>
  <conditionalFormatting sqref="V38">
    <cfRule type="containsText" dxfId="389" priority="76" stopIfTrue="1" operator="containsText" text="ПОМИЛКА">
      <formula>NOT(ISERROR(SEARCH("ПОМИЛКА",V38)))</formula>
    </cfRule>
    <cfRule type="containsText" dxfId="388" priority="77" stopIfTrue="1" operator="containsText" text="Увага">
      <formula>NOT(ISERROR(SEARCH("Увага",V38)))</formula>
    </cfRule>
    <cfRule type="containsText" dxfId="387" priority="78" stopIfTrue="1" operator="containsText" text="ПРАВДА">
      <formula>NOT(ISERROR(SEARCH("ПРАВДА",V38)))</formula>
    </cfRule>
  </conditionalFormatting>
  <conditionalFormatting sqref="U34">
    <cfRule type="containsText" dxfId="386" priority="73" stopIfTrue="1" operator="containsText" text="ПОМИЛКА">
      <formula>NOT(ISERROR(SEARCH("ПОМИЛКА",U34)))</formula>
    </cfRule>
    <cfRule type="containsText" dxfId="385" priority="74" stopIfTrue="1" operator="containsText" text="Увага">
      <formula>NOT(ISERROR(SEARCH("Увага",U34)))</formula>
    </cfRule>
    <cfRule type="containsText" dxfId="384" priority="75" stopIfTrue="1" operator="containsText" text="ПРАВДА">
      <formula>NOT(ISERROR(SEARCH("ПРАВДА",U34)))</formula>
    </cfRule>
  </conditionalFormatting>
  <conditionalFormatting sqref="Q65">
    <cfRule type="containsText" dxfId="383" priority="70" stopIfTrue="1" operator="containsText" text="ПОМИЛКА">
      <formula>NOT(ISERROR(SEARCH("ПОМИЛКА",Q65)))</formula>
    </cfRule>
    <cfRule type="containsText" dxfId="382" priority="71" stopIfTrue="1" operator="containsText" text="Увага">
      <formula>NOT(ISERROR(SEARCH("Увага",Q65)))</formula>
    </cfRule>
    <cfRule type="containsText" dxfId="381" priority="72" stopIfTrue="1" operator="containsText" text="ПРАВДА">
      <formula>NOT(ISERROR(SEARCH("ПРАВДА",Q65)))</formula>
    </cfRule>
  </conditionalFormatting>
  <conditionalFormatting sqref="X65">
    <cfRule type="containsText" dxfId="380" priority="67" stopIfTrue="1" operator="containsText" text="ПОМИЛКА">
      <formula>NOT(ISERROR(SEARCH("ПОМИЛКА",X65)))</formula>
    </cfRule>
    <cfRule type="containsText" dxfId="379" priority="68" stopIfTrue="1" operator="containsText" text="Увага">
      <formula>NOT(ISERROR(SEARCH("Увага",X65)))</formula>
    </cfRule>
    <cfRule type="containsText" dxfId="378" priority="69" stopIfTrue="1" operator="containsText" text="ПРАВДА">
      <formula>NOT(ISERROR(SEARCH("ПРАВДА",X65)))</formula>
    </cfRule>
  </conditionalFormatting>
  <conditionalFormatting sqref="V61">
    <cfRule type="containsText" dxfId="377" priority="64" stopIfTrue="1" operator="containsText" text="ПОМИЛКА">
      <formula>NOT(ISERROR(SEARCH("ПОМИЛКА",V61)))</formula>
    </cfRule>
    <cfRule type="containsText" dxfId="376" priority="65" stopIfTrue="1" operator="containsText" text="Увага">
      <formula>NOT(ISERROR(SEARCH("Увага",V61)))</formula>
    </cfRule>
    <cfRule type="containsText" dxfId="375" priority="66" stopIfTrue="1" operator="containsText" text="ПРАВДА">
      <formula>NOT(ISERROR(SEARCH("ПРАВДА",V61)))</formula>
    </cfRule>
  </conditionalFormatting>
  <conditionalFormatting sqref="V62">
    <cfRule type="containsText" dxfId="374" priority="61" stopIfTrue="1" operator="containsText" text="ПОМИЛКА">
      <formula>NOT(ISERROR(SEARCH("ПОМИЛКА",V62)))</formula>
    </cfRule>
    <cfRule type="containsText" dxfId="373" priority="62" stopIfTrue="1" operator="containsText" text="Увага">
      <formula>NOT(ISERROR(SEARCH("Увага",V62)))</formula>
    </cfRule>
    <cfRule type="containsText" dxfId="372" priority="63" stopIfTrue="1" operator="containsText" text="ПРАВДА">
      <formula>NOT(ISERROR(SEARCH("ПРАВДА",V62)))</formula>
    </cfRule>
  </conditionalFormatting>
  <conditionalFormatting sqref="AW89">
    <cfRule type="containsText" dxfId="371" priority="58" stopIfTrue="1" operator="containsText" text="ПОМИЛКА">
      <formula>NOT(ISERROR(SEARCH("ПОМИЛКА",AW89)))</formula>
    </cfRule>
    <cfRule type="containsText" dxfId="370" priority="59" stopIfTrue="1" operator="containsText" text="Увага">
      <formula>NOT(ISERROR(SEARCH("Увага",AW89)))</formula>
    </cfRule>
    <cfRule type="containsText" dxfId="369" priority="60" stopIfTrue="1" operator="containsText" text="ПРАВДА">
      <formula>NOT(ISERROR(SEARCH("ПРАВДА",AW89)))</formula>
    </cfRule>
  </conditionalFormatting>
  <conditionalFormatting sqref="Q34">
    <cfRule type="containsText" dxfId="368" priority="55" stopIfTrue="1" operator="containsText" text="ПОМИЛКА">
      <formula>NOT(ISERROR(SEARCH("ПОМИЛКА",Q34)))</formula>
    </cfRule>
    <cfRule type="containsText" dxfId="367" priority="56" stopIfTrue="1" operator="containsText" text="Увага">
      <formula>NOT(ISERROR(SEARCH("Увага",Q34)))</formula>
    </cfRule>
    <cfRule type="containsText" dxfId="366" priority="57" stopIfTrue="1" operator="containsText" text="ПРАВДА">
      <formula>NOT(ISERROR(SEARCH("ПРАВДА",Q34)))</formula>
    </cfRule>
  </conditionalFormatting>
  <conditionalFormatting sqref="AK89">
    <cfRule type="containsText" dxfId="365" priority="52" stopIfTrue="1" operator="containsText" text="ПОМИЛКА">
      <formula>NOT(ISERROR(SEARCH("ПОМИЛКА",AK89)))</formula>
    </cfRule>
    <cfRule type="containsText" dxfId="364" priority="53" stopIfTrue="1" operator="containsText" text="Увага">
      <formula>NOT(ISERROR(SEARCH("Увага",AK89)))</formula>
    </cfRule>
    <cfRule type="containsText" dxfId="363" priority="54" stopIfTrue="1" operator="containsText" text="ПРАВДА">
      <formula>NOT(ISERROR(SEARCH("ПРАВДА",AK89)))</formula>
    </cfRule>
  </conditionalFormatting>
  <conditionalFormatting sqref="AQ89">
    <cfRule type="containsText" dxfId="362" priority="49" stopIfTrue="1" operator="containsText" text="ПОМИЛКА">
      <formula>NOT(ISERROR(SEARCH("ПОМИЛКА",AQ89)))</formula>
    </cfRule>
    <cfRule type="containsText" dxfId="361" priority="50" stopIfTrue="1" operator="containsText" text="Увага">
      <formula>NOT(ISERROR(SEARCH("Увага",AQ89)))</formula>
    </cfRule>
    <cfRule type="containsText" dxfId="360" priority="51" stopIfTrue="1" operator="containsText" text="ПРАВДА">
      <formula>NOT(ISERROR(SEARCH("ПРАВДА",AQ89)))</formula>
    </cfRule>
  </conditionalFormatting>
  <conditionalFormatting sqref="AJ89">
    <cfRule type="containsText" dxfId="359" priority="46" stopIfTrue="1" operator="containsText" text="ПОМИЛКА">
      <formula>NOT(ISERROR(SEARCH("ПОМИЛКА",AJ89)))</formula>
    </cfRule>
    <cfRule type="containsText" dxfId="358" priority="47" stopIfTrue="1" operator="containsText" text="Увага">
      <formula>NOT(ISERROR(SEARCH("Увага",AJ89)))</formula>
    </cfRule>
    <cfRule type="containsText" dxfId="357" priority="48" stopIfTrue="1" operator="containsText" text="ПРАВДА">
      <formula>NOT(ISERROR(SEARCH("ПРАВДА",AJ89)))</formula>
    </cfRule>
  </conditionalFormatting>
  <conditionalFormatting sqref="AB89">
    <cfRule type="containsText" dxfId="356" priority="43" stopIfTrue="1" operator="containsText" text="ПОМИЛКА">
      <formula>NOT(ISERROR(SEARCH("ПОМИЛКА",AB89)))</formula>
    </cfRule>
    <cfRule type="containsText" dxfId="355" priority="44" stopIfTrue="1" operator="containsText" text="Увага">
      <formula>NOT(ISERROR(SEARCH("Увага",AB89)))</formula>
    </cfRule>
    <cfRule type="containsText" dxfId="354" priority="45" stopIfTrue="1" operator="containsText" text="ПРАВДА">
      <formula>NOT(ISERROR(SEARCH("ПРАВДА",AB89)))</formula>
    </cfRule>
  </conditionalFormatting>
  <conditionalFormatting sqref="T89">
    <cfRule type="containsText" dxfId="353" priority="40" stopIfTrue="1" operator="containsText" text="ПОМИЛКА">
      <formula>NOT(ISERROR(SEARCH("ПОМИЛКА",T89)))</formula>
    </cfRule>
    <cfRule type="containsText" dxfId="352" priority="41" stopIfTrue="1" operator="containsText" text="Увага">
      <formula>NOT(ISERROR(SEARCH("Увага",T89)))</formula>
    </cfRule>
    <cfRule type="containsText" dxfId="351" priority="42" stopIfTrue="1" operator="containsText" text="ПРАВДА">
      <formula>NOT(ISERROR(SEARCH("ПРАВДА",T89)))</formula>
    </cfRule>
  </conditionalFormatting>
  <conditionalFormatting sqref="V66">
    <cfRule type="containsText" dxfId="350" priority="37" stopIfTrue="1" operator="containsText" text="ПОМИЛКА">
      <formula>NOT(ISERROR(SEARCH("ПОМИЛКА",V66)))</formula>
    </cfRule>
    <cfRule type="containsText" dxfId="349" priority="38" stopIfTrue="1" operator="containsText" text="Увага">
      <formula>NOT(ISERROR(SEARCH("Увага",V66)))</formula>
    </cfRule>
    <cfRule type="containsText" dxfId="348" priority="39" stopIfTrue="1" operator="containsText" text="ПРАВДА">
      <formula>NOT(ISERROR(SEARCH("ПРАВДА",V66)))</formula>
    </cfRule>
  </conditionalFormatting>
  <conditionalFormatting sqref="T66">
    <cfRule type="containsText" dxfId="347" priority="34" stopIfTrue="1" operator="containsText" text="ПОМИЛКА">
      <formula>NOT(ISERROR(SEARCH("ПОМИЛКА",T66)))</formula>
    </cfRule>
    <cfRule type="containsText" dxfId="346" priority="35" stopIfTrue="1" operator="containsText" text="Увага">
      <formula>NOT(ISERROR(SEARCH("Увага",T66)))</formula>
    </cfRule>
    <cfRule type="containsText" dxfId="345" priority="36" stopIfTrue="1" operator="containsText" text="ПРАВДА">
      <formula>NOT(ISERROR(SEARCH("ПРАВДА",T66)))</formula>
    </cfRule>
  </conditionalFormatting>
  <conditionalFormatting sqref="R66">
    <cfRule type="containsText" dxfId="344" priority="31" stopIfTrue="1" operator="containsText" text="ПОМИЛКА">
      <formula>NOT(ISERROR(SEARCH("ПОМИЛКА",R66)))</formula>
    </cfRule>
    <cfRule type="containsText" dxfId="343" priority="32" stopIfTrue="1" operator="containsText" text="Увага">
      <formula>NOT(ISERROR(SEARCH("Увага",R66)))</formula>
    </cfRule>
    <cfRule type="containsText" dxfId="342" priority="33" stopIfTrue="1" operator="containsText" text="ПРАВДА">
      <formula>NOT(ISERROR(SEARCH("ПРАВДА",R66)))</formula>
    </cfRule>
  </conditionalFormatting>
  <conditionalFormatting sqref="W66">
    <cfRule type="containsText" dxfId="341" priority="28" stopIfTrue="1" operator="containsText" text="ПОМИЛКА">
      <formula>NOT(ISERROR(SEARCH("ПОМИЛКА",W66)))</formula>
    </cfRule>
    <cfRule type="containsText" dxfId="340" priority="29" stopIfTrue="1" operator="containsText" text="Увага">
      <formula>NOT(ISERROR(SEARCH("Увага",W66)))</formula>
    </cfRule>
    <cfRule type="containsText" dxfId="339" priority="30" stopIfTrue="1" operator="containsText" text="ПРАВДА">
      <formula>NOT(ISERROR(SEARCH("ПРАВДА",W66)))</formula>
    </cfRule>
  </conditionalFormatting>
  <conditionalFormatting sqref="BB89">
    <cfRule type="containsText" dxfId="338" priority="25" stopIfTrue="1" operator="containsText" text="ПОМИЛКА">
      <formula>NOT(ISERROR(SEARCH("ПОМИЛКА",BB89)))</formula>
    </cfRule>
    <cfRule type="containsText" dxfId="337" priority="26" stopIfTrue="1" operator="containsText" text="Увага">
      <formula>NOT(ISERROR(SEARCH("Увага",BB89)))</formula>
    </cfRule>
    <cfRule type="containsText" dxfId="336" priority="27" stopIfTrue="1" operator="containsText" text="ПРАВДА">
      <formula>NOT(ISERROR(SEARCH("ПРАВДА",BB89)))</formula>
    </cfRule>
  </conditionalFormatting>
  <conditionalFormatting sqref="J95">
    <cfRule type="cellIs" dxfId="335" priority="24" stopIfTrue="1" operator="lessThan">
      <formula>0</formula>
    </cfRule>
  </conditionalFormatting>
  <conditionalFormatting sqref="J92">
    <cfRule type="cellIs" dxfId="334" priority="23" stopIfTrue="1" operator="lessThan">
      <formula>0</formula>
    </cfRule>
  </conditionalFormatting>
  <conditionalFormatting sqref="N92">
    <cfRule type="cellIs" dxfId="333" priority="22" stopIfTrue="1" operator="lessThan">
      <formula>0</formula>
    </cfRule>
  </conditionalFormatting>
  <conditionalFormatting sqref="N95">
    <cfRule type="cellIs" dxfId="332" priority="21" stopIfTrue="1" operator="lessThan">
      <formula>0</formula>
    </cfRule>
  </conditionalFormatting>
  <conditionalFormatting sqref="K97">
    <cfRule type="cellIs" dxfId="331" priority="20" stopIfTrue="1" operator="lessThan">
      <formula>0</formula>
    </cfRule>
  </conditionalFormatting>
  <conditionalFormatting sqref="Q92">
    <cfRule type="cellIs" dxfId="330" priority="19" stopIfTrue="1" operator="lessThan">
      <formula>0</formula>
    </cfRule>
  </conditionalFormatting>
  <conditionalFormatting sqref="Q95">
    <cfRule type="cellIs" dxfId="329" priority="18" stopIfTrue="1" operator="lessThan">
      <formula>0</formula>
    </cfRule>
  </conditionalFormatting>
  <conditionalFormatting sqref="T95">
    <cfRule type="cellIs" dxfId="328" priority="17" stopIfTrue="1" operator="lessThan">
      <formula>0</formula>
    </cfRule>
  </conditionalFormatting>
  <conditionalFormatting sqref="T92">
    <cfRule type="cellIs" dxfId="327" priority="16" stopIfTrue="1" operator="lessThan">
      <formula>0</formula>
    </cfRule>
  </conditionalFormatting>
  <conditionalFormatting sqref="X92">
    <cfRule type="cellIs" dxfId="326" priority="15" stopIfTrue="1" operator="lessThan">
      <formula>0</formula>
    </cfRule>
  </conditionalFormatting>
  <conditionalFormatting sqref="AB95">
    <cfRule type="cellIs" dxfId="325" priority="14" stopIfTrue="1" operator="lessThan">
      <formula>0</formula>
    </cfRule>
  </conditionalFormatting>
  <conditionalFormatting sqref="AB92">
    <cfRule type="cellIs" dxfId="324" priority="13" stopIfTrue="1" operator="lessThan">
      <formula>0</formula>
    </cfRule>
  </conditionalFormatting>
  <conditionalFormatting sqref="AF92">
    <cfRule type="cellIs" dxfId="323" priority="12" stopIfTrue="1" operator="lessThan">
      <formula>0</formula>
    </cfRule>
  </conditionalFormatting>
  <conditionalFormatting sqref="AJ92">
    <cfRule type="cellIs" dxfId="322" priority="11" stopIfTrue="1" operator="lessThan">
      <formula>0</formula>
    </cfRule>
  </conditionalFormatting>
  <conditionalFormatting sqref="AP92">
    <cfRule type="cellIs" dxfId="321" priority="10" stopIfTrue="1" operator="lessThan">
      <formula>0</formula>
    </cfRule>
  </conditionalFormatting>
  <conditionalFormatting sqref="AQ92">
    <cfRule type="cellIs" dxfId="320" priority="9" stopIfTrue="1" operator="lessThan">
      <formula>0</formula>
    </cfRule>
  </conditionalFormatting>
  <conditionalFormatting sqref="AO95">
    <cfRule type="cellIs" dxfId="319" priority="8" stopIfTrue="1" operator="lessThan">
      <formula>0</formula>
    </cfRule>
  </conditionalFormatting>
  <conditionalFormatting sqref="AP95">
    <cfRule type="cellIs" dxfId="318" priority="7" stopIfTrue="1" operator="lessThan">
      <formula>0</formula>
    </cfRule>
  </conditionalFormatting>
  <conditionalFormatting sqref="AV92">
    <cfRule type="cellIs" dxfId="317" priority="6" stopIfTrue="1" operator="lessThan">
      <formula>0</formula>
    </cfRule>
  </conditionalFormatting>
  <conditionalFormatting sqref="AW92">
    <cfRule type="cellIs" dxfId="316" priority="5" stopIfTrue="1" operator="lessThan">
      <formula>0</formula>
    </cfRule>
  </conditionalFormatting>
  <pageMargins left="0.7" right="0.7" top="0.75" bottom="0.75" header="0.3" footer="0.3"/>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tabColor rgb="FFFFFF00"/>
  </sheetPr>
  <dimension ref="A1:AS135"/>
  <sheetViews>
    <sheetView showGridLines="0" tabSelected="1" zoomScale="60" zoomScaleNormal="60" zoomScaleSheetLayoutView="50" zoomScalePageLayoutView="50" workbookViewId="0">
      <selection activeCell="K20" sqref="K20:L20"/>
    </sheetView>
  </sheetViews>
  <sheetFormatPr defaultColWidth="8.7109375" defaultRowHeight="18.75" x14ac:dyDescent="0.25"/>
  <cols>
    <col min="1" max="1" width="9.42578125" style="23" customWidth="1"/>
    <col min="2" max="2" width="10.42578125" style="1" customWidth="1"/>
    <col min="3" max="3" width="27.7109375" style="2" customWidth="1"/>
    <col min="4" max="4" width="10.42578125" style="64" customWidth="1"/>
    <col min="5" max="5" width="26.85546875" style="64" customWidth="1"/>
    <col min="6" max="6" width="16.28515625" style="64" customWidth="1"/>
    <col min="7" max="7" width="25.42578125" style="4" customWidth="1"/>
    <col min="8" max="8" width="23.140625" style="4" customWidth="1"/>
    <col min="9" max="9" width="22.5703125" style="4" customWidth="1"/>
    <col min="10" max="10" width="24.85546875" style="4" customWidth="1"/>
    <col min="11" max="11" width="21.5703125" style="14" customWidth="1"/>
    <col min="12" max="12" width="27.7109375" style="12" customWidth="1"/>
    <col min="13" max="13" width="20.5703125" style="12" customWidth="1"/>
    <col min="14" max="14" width="23" style="12" customWidth="1"/>
    <col min="15" max="15" width="20.7109375" style="2" customWidth="1"/>
    <col min="16" max="16" width="25" style="85" customWidth="1"/>
    <col min="17" max="17" width="31.140625" style="85" customWidth="1"/>
    <col min="18" max="18" width="29.42578125" style="85" customWidth="1"/>
    <col min="19" max="19" width="28.140625" style="85" customWidth="1"/>
    <col min="20" max="20" width="29.85546875" style="84" customWidth="1"/>
    <col min="21" max="21" width="26.42578125" style="84" customWidth="1"/>
    <col min="22" max="22" width="25.5703125" style="84" customWidth="1"/>
    <col min="23" max="23" width="32.140625" style="84" customWidth="1"/>
    <col min="24" max="45" width="8.7109375" style="84"/>
    <col min="46" max="247" width="8.7109375" style="2"/>
    <col min="248" max="248" width="78.5703125" style="2" customWidth="1"/>
    <col min="249" max="251" width="19.42578125" style="2" customWidth="1"/>
    <col min="252" max="16384" width="8.7109375" style="2"/>
  </cols>
  <sheetData>
    <row r="1" spans="1:45" ht="22.35" customHeight="1" x14ac:dyDescent="0.25">
      <c r="B1" s="2279" t="s">
        <v>0</v>
      </c>
      <c r="C1" s="2279"/>
      <c r="D1" s="2278">
        <v>2006707</v>
      </c>
      <c r="E1" s="2278"/>
      <c r="F1" s="2225" t="s">
        <v>1</v>
      </c>
      <c r="G1" s="2225"/>
      <c r="H1" s="255">
        <v>430</v>
      </c>
      <c r="J1" s="71"/>
      <c r="K1" s="71"/>
      <c r="L1" s="69"/>
      <c r="M1" s="239"/>
      <c r="N1" s="2283" t="s">
        <v>331</v>
      </c>
      <c r="O1" s="2283"/>
    </row>
    <row r="2" spans="1:45" ht="20.100000000000001" customHeight="1" x14ac:dyDescent="0.25">
      <c r="I2" s="2"/>
      <c r="J2" s="2"/>
      <c r="K2" s="2"/>
      <c r="L2" s="443"/>
      <c r="M2" s="2"/>
      <c r="N2" s="2"/>
    </row>
    <row r="3" spans="1:45" ht="32.65" customHeight="1" x14ac:dyDescent="0.25">
      <c r="A3" s="2269" t="s">
        <v>1619</v>
      </c>
      <c r="B3" s="2269"/>
      <c r="C3" s="2269"/>
      <c r="D3" s="2269"/>
      <c r="E3" s="2269"/>
      <c r="F3" s="2269"/>
      <c r="G3" s="2269"/>
      <c r="H3" s="2269"/>
      <c r="I3" s="2269"/>
      <c r="J3" s="2269"/>
      <c r="K3" s="2269"/>
      <c r="L3" s="2269"/>
      <c r="M3" s="2269"/>
      <c r="N3" s="2269"/>
      <c r="O3" s="2269"/>
    </row>
    <row r="4" spans="1:45" s="52" customFormat="1" ht="24" customHeight="1" x14ac:dyDescent="0.25">
      <c r="A4" s="2248" t="s">
        <v>208</v>
      </c>
      <c r="B4" s="2249"/>
      <c r="C4" s="2250"/>
      <c r="D4" s="2280" t="s">
        <v>299</v>
      </c>
      <c r="E4" s="2281"/>
      <c r="F4" s="2281"/>
      <c r="G4" s="2281"/>
      <c r="H4" s="2281"/>
      <c r="I4" s="2281"/>
      <c r="J4" s="2282"/>
      <c r="K4" s="2"/>
      <c r="L4" s="4"/>
      <c r="M4" s="4"/>
      <c r="N4" s="4"/>
      <c r="O4" s="2"/>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row>
    <row r="5" spans="1:45" s="52" customFormat="1" ht="24" customHeight="1" x14ac:dyDescent="0.25">
      <c r="A5" s="2251" t="s">
        <v>2</v>
      </c>
      <c r="B5" s="2252"/>
      <c r="C5" s="2253"/>
      <c r="D5" s="2280" t="s">
        <v>1620</v>
      </c>
      <c r="E5" s="2281"/>
      <c r="F5" s="2281"/>
      <c r="G5" s="2281"/>
      <c r="H5" s="2281"/>
      <c r="I5" s="2281"/>
      <c r="J5" s="2282"/>
      <c r="K5" s="64"/>
      <c r="L5" s="19"/>
      <c r="M5" s="19"/>
      <c r="N5" s="19"/>
      <c r="O5" s="20"/>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row>
    <row r="6" spans="1:45" s="52" customFormat="1" ht="30.6" customHeight="1" x14ac:dyDescent="0.25">
      <c r="A6" s="2270"/>
      <c r="B6" s="2270"/>
      <c r="C6" s="2270"/>
      <c r="D6" s="2270"/>
      <c r="E6" s="2270"/>
      <c r="F6" s="2270"/>
      <c r="G6" s="2270"/>
      <c r="H6" s="2304" t="s">
        <v>1610</v>
      </c>
      <c r="I6" s="2304"/>
      <c r="J6" s="2304"/>
      <c r="K6" s="2304"/>
      <c r="L6" s="2304"/>
      <c r="M6" s="2304"/>
      <c r="N6" s="2304"/>
      <c r="O6" s="2304"/>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row>
    <row r="7" spans="1:45" s="52" customFormat="1" ht="23.1" customHeight="1" x14ac:dyDescent="0.25">
      <c r="A7" s="2272" t="s">
        <v>4</v>
      </c>
      <c r="B7" s="2273"/>
      <c r="C7" s="2273"/>
      <c r="D7" s="2273"/>
      <c r="E7" s="2273"/>
      <c r="F7" s="2273"/>
      <c r="G7" s="2274"/>
      <c r="H7" s="2245" t="s">
        <v>1876</v>
      </c>
      <c r="I7" s="2245"/>
      <c r="J7" s="2245"/>
      <c r="K7" s="2245"/>
      <c r="L7" s="2245"/>
      <c r="M7" s="2245"/>
      <c r="N7" s="2245"/>
      <c r="O7" s="2246"/>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row>
    <row r="8" spans="1:45" s="52" customFormat="1" ht="27" customHeight="1" x14ac:dyDescent="0.25">
      <c r="A8" s="2272" t="s">
        <v>283</v>
      </c>
      <c r="B8" s="2273" t="s">
        <v>85</v>
      </c>
      <c r="C8" s="2273" t="s">
        <v>85</v>
      </c>
      <c r="D8" s="2273"/>
      <c r="E8" s="2273"/>
      <c r="F8" s="2273"/>
      <c r="G8" s="2274"/>
      <c r="H8" s="2245" t="s">
        <v>1875</v>
      </c>
      <c r="I8" s="2245"/>
      <c r="J8" s="2245"/>
      <c r="K8" s="2245"/>
      <c r="L8" s="2245"/>
      <c r="M8" s="2245"/>
      <c r="N8" s="2245"/>
      <c r="O8" s="2246"/>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row>
    <row r="9" spans="1:45" s="52" customFormat="1" ht="26.1" customHeight="1" x14ac:dyDescent="0.25">
      <c r="A9" s="2272" t="s">
        <v>86</v>
      </c>
      <c r="B9" s="2273"/>
      <c r="C9" s="2273"/>
      <c r="D9" s="2273"/>
      <c r="E9" s="2273"/>
      <c r="F9" s="2273"/>
      <c r="G9" s="2274"/>
      <c r="H9" s="2245" t="s">
        <v>1875</v>
      </c>
      <c r="I9" s="2245"/>
      <c r="J9" s="2245"/>
      <c r="K9" s="2245"/>
      <c r="L9" s="2245"/>
      <c r="M9" s="2245"/>
      <c r="N9" s="2245"/>
      <c r="O9" s="2246"/>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row>
    <row r="10" spans="1:45" s="52" customFormat="1" ht="22.35" customHeight="1" x14ac:dyDescent="0.25">
      <c r="A10" s="2272" t="s">
        <v>5</v>
      </c>
      <c r="B10" s="2273"/>
      <c r="C10" s="2273"/>
      <c r="D10" s="2273"/>
      <c r="E10" s="2273"/>
      <c r="F10" s="2273"/>
      <c r="G10" s="2274"/>
      <c r="H10" s="2245" t="s">
        <v>1877</v>
      </c>
      <c r="I10" s="2245"/>
      <c r="J10" s="2245"/>
      <c r="K10" s="2245"/>
      <c r="L10" s="2245"/>
      <c r="M10" s="2245"/>
      <c r="N10" s="2245"/>
      <c r="O10" s="2246"/>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row>
    <row r="11" spans="1:45" s="52" customFormat="1" ht="22.15" customHeight="1" x14ac:dyDescent="0.25">
      <c r="A11" s="240"/>
      <c r="B11" s="240"/>
      <c r="C11" s="240"/>
      <c r="D11" s="240"/>
      <c r="E11" s="240"/>
      <c r="F11" s="240"/>
      <c r="G11" s="240"/>
      <c r="H11" s="241"/>
      <c r="I11" s="241"/>
      <c r="J11" s="241"/>
      <c r="K11" s="241"/>
      <c r="L11" s="241"/>
      <c r="M11" s="241"/>
      <c r="N11" s="241"/>
      <c r="O11" s="241"/>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row>
    <row r="12" spans="1:45" s="52" customFormat="1" ht="21.6" customHeight="1" thickBot="1" x14ac:dyDescent="0.3">
      <c r="A12" s="2206" t="s">
        <v>521</v>
      </c>
      <c r="B12" s="2206"/>
      <c r="C12" s="2206"/>
      <c r="D12" s="2206"/>
      <c r="E12" s="2206"/>
      <c r="F12" s="5"/>
      <c r="G12" s="5"/>
      <c r="H12" s="5"/>
      <c r="I12" s="5"/>
      <c r="J12" s="2305" t="s">
        <v>262</v>
      </c>
      <c r="K12" s="2305"/>
      <c r="L12" s="2305"/>
      <c r="M12" s="2305"/>
      <c r="N12" s="2305"/>
      <c r="O12" s="2305"/>
      <c r="P12" s="2305"/>
      <c r="Q12" s="2305"/>
      <c r="R12" s="2305"/>
      <c r="S12" s="2305"/>
      <c r="T12" s="2305"/>
      <c r="U12" s="2305"/>
      <c r="V12" s="2305"/>
      <c r="W12" s="2305"/>
      <c r="X12" s="85"/>
      <c r="Y12" s="85"/>
      <c r="Z12" s="85"/>
      <c r="AA12" s="85"/>
      <c r="AB12" s="85"/>
      <c r="AC12" s="85"/>
      <c r="AD12" s="85"/>
      <c r="AE12" s="85"/>
      <c r="AF12" s="85"/>
      <c r="AG12" s="85"/>
      <c r="AH12" s="85"/>
      <c r="AI12" s="85"/>
      <c r="AJ12" s="85"/>
      <c r="AK12" s="85"/>
      <c r="AL12" s="85"/>
      <c r="AM12" s="85"/>
      <c r="AN12" s="85"/>
      <c r="AO12" s="85"/>
      <c r="AP12" s="85"/>
      <c r="AQ12" s="85"/>
      <c r="AR12" s="85"/>
      <c r="AS12" s="85"/>
    </row>
    <row r="13" spans="1:45" s="52" customFormat="1" ht="29.65" customHeight="1" thickBot="1" x14ac:dyDescent="0.3">
      <c r="A13" s="2209" t="s">
        <v>6</v>
      </c>
      <c r="B13" s="2212" t="s">
        <v>7</v>
      </c>
      <c r="C13" s="2212"/>
      <c r="D13" s="2212"/>
      <c r="E13" s="2212"/>
      <c r="F13" s="2227" t="s">
        <v>440</v>
      </c>
      <c r="G13" s="2254" t="s">
        <v>485</v>
      </c>
      <c r="H13" s="2255"/>
      <c r="I13" s="2255"/>
      <c r="J13" s="2255"/>
      <c r="K13" s="2255"/>
      <c r="L13" s="2255"/>
      <c r="M13" s="2255"/>
      <c r="N13" s="2255"/>
      <c r="O13" s="2255"/>
      <c r="P13" s="2256"/>
      <c r="Q13" s="2256"/>
      <c r="R13" s="2256"/>
      <c r="S13" s="2256"/>
      <c r="T13" s="2256"/>
      <c r="U13" s="2256"/>
      <c r="V13" s="2256"/>
      <c r="W13" s="2257"/>
      <c r="X13" s="85"/>
      <c r="Y13" s="85"/>
      <c r="Z13" s="85"/>
      <c r="AA13" s="85"/>
      <c r="AB13" s="85"/>
      <c r="AC13" s="85"/>
      <c r="AD13" s="85"/>
      <c r="AE13" s="85"/>
      <c r="AF13" s="85"/>
      <c r="AG13" s="85"/>
      <c r="AH13" s="85"/>
      <c r="AI13" s="85"/>
      <c r="AJ13" s="85"/>
      <c r="AK13" s="85"/>
      <c r="AL13" s="85"/>
      <c r="AM13" s="85"/>
      <c r="AN13" s="85"/>
      <c r="AO13" s="85"/>
      <c r="AP13" s="85"/>
      <c r="AQ13" s="85"/>
      <c r="AR13" s="85"/>
      <c r="AS13" s="85"/>
    </row>
    <row r="14" spans="1:45" s="52" customFormat="1" ht="29.65" customHeight="1" thickBot="1" x14ac:dyDescent="0.3">
      <c r="A14" s="2210"/>
      <c r="B14" s="2214"/>
      <c r="C14" s="2214"/>
      <c r="D14" s="2214"/>
      <c r="E14" s="2214"/>
      <c r="F14" s="2228"/>
      <c r="G14" s="2203" t="s">
        <v>197</v>
      </c>
      <c r="H14" s="2204" t="s">
        <v>486</v>
      </c>
      <c r="I14" s="2204"/>
      <c r="J14" s="2204"/>
      <c r="K14" s="2204"/>
      <c r="L14" s="2204"/>
      <c r="M14" s="2204"/>
      <c r="N14" s="2204"/>
      <c r="O14" s="2205"/>
      <c r="P14" s="2258" t="s">
        <v>772</v>
      </c>
      <c r="Q14" s="2258"/>
      <c r="R14" s="2258"/>
      <c r="S14" s="2258"/>
      <c r="T14" s="2258"/>
      <c r="U14" s="2258"/>
      <c r="V14" s="2258"/>
      <c r="W14" s="2259"/>
      <c r="X14" s="85"/>
      <c r="Y14" s="85"/>
      <c r="Z14" s="85"/>
      <c r="AA14" s="85"/>
      <c r="AB14" s="85"/>
      <c r="AC14" s="85"/>
      <c r="AD14" s="85"/>
      <c r="AE14" s="85"/>
      <c r="AF14" s="85"/>
      <c r="AG14" s="85"/>
      <c r="AH14" s="85"/>
      <c r="AI14" s="85"/>
      <c r="AJ14" s="85"/>
      <c r="AK14" s="85"/>
      <c r="AL14" s="85"/>
      <c r="AM14" s="85"/>
      <c r="AN14" s="85"/>
      <c r="AO14" s="85"/>
      <c r="AP14" s="85"/>
      <c r="AQ14" s="85"/>
      <c r="AR14" s="85"/>
      <c r="AS14" s="85"/>
    </row>
    <row r="15" spans="1:45" s="52" customFormat="1" ht="29.65" customHeight="1" x14ac:dyDescent="0.25">
      <c r="A15" s="2210"/>
      <c r="B15" s="2214"/>
      <c r="C15" s="2214"/>
      <c r="D15" s="2214"/>
      <c r="E15" s="2214"/>
      <c r="F15" s="2228"/>
      <c r="G15" s="2266"/>
      <c r="H15" s="2306" t="s">
        <v>1297</v>
      </c>
      <c r="I15" s="2186" t="s">
        <v>525</v>
      </c>
      <c r="J15" s="2186"/>
      <c r="K15" s="2186"/>
      <c r="L15" s="2186"/>
      <c r="M15" s="2186"/>
      <c r="N15" s="2186"/>
      <c r="O15" s="2193" t="s">
        <v>443</v>
      </c>
      <c r="P15" s="2300" t="s">
        <v>1298</v>
      </c>
      <c r="Q15" s="2284" t="s">
        <v>1299</v>
      </c>
      <c r="R15" s="2297" t="s">
        <v>1848</v>
      </c>
      <c r="S15" s="2295" t="s">
        <v>1300</v>
      </c>
      <c r="T15" s="2292" t="s">
        <v>1301</v>
      </c>
      <c r="U15" s="2262" t="s">
        <v>1210</v>
      </c>
      <c r="V15" s="2263"/>
      <c r="W15" s="2259" t="s">
        <v>1847</v>
      </c>
      <c r="X15" s="85"/>
      <c r="Y15" s="85"/>
      <c r="Z15" s="85"/>
      <c r="AA15" s="85"/>
      <c r="AB15" s="85"/>
      <c r="AC15" s="85"/>
      <c r="AD15" s="85"/>
      <c r="AE15" s="85"/>
      <c r="AF15" s="85"/>
      <c r="AG15" s="85"/>
      <c r="AH15" s="85"/>
      <c r="AI15" s="85"/>
      <c r="AJ15" s="85"/>
      <c r="AK15" s="85"/>
      <c r="AL15" s="85"/>
      <c r="AM15" s="85"/>
      <c r="AN15" s="85"/>
      <c r="AO15" s="85"/>
      <c r="AP15" s="85"/>
      <c r="AQ15" s="85"/>
      <c r="AR15" s="85"/>
      <c r="AS15" s="85"/>
    </row>
    <row r="16" spans="1:45" s="52" customFormat="1" ht="57.75" customHeight="1" x14ac:dyDescent="0.25">
      <c r="A16" s="2210"/>
      <c r="B16" s="2214"/>
      <c r="C16" s="2214"/>
      <c r="D16" s="2214"/>
      <c r="E16" s="2214"/>
      <c r="F16" s="2228"/>
      <c r="G16" s="2266"/>
      <c r="H16" s="2306"/>
      <c r="I16" s="2199" t="s">
        <v>207</v>
      </c>
      <c r="J16" s="2199"/>
      <c r="K16" s="2199" t="s">
        <v>188</v>
      </c>
      <c r="L16" s="2199"/>
      <c r="M16" s="2199" t="s">
        <v>13</v>
      </c>
      <c r="N16" s="2199"/>
      <c r="O16" s="2193"/>
      <c r="P16" s="2301"/>
      <c r="Q16" s="2285"/>
      <c r="R16" s="2298"/>
      <c r="S16" s="2296"/>
      <c r="T16" s="2293"/>
      <c r="U16" s="2264"/>
      <c r="V16" s="2265"/>
      <c r="W16" s="2260"/>
      <c r="X16" s="85"/>
      <c r="Y16" s="85"/>
      <c r="Z16" s="85"/>
      <c r="AA16" s="85"/>
      <c r="AB16" s="85"/>
      <c r="AC16" s="85"/>
      <c r="AD16" s="85"/>
      <c r="AE16" s="85"/>
      <c r="AF16" s="85"/>
      <c r="AG16" s="85"/>
      <c r="AH16" s="85"/>
      <c r="AI16" s="85"/>
      <c r="AJ16" s="85"/>
      <c r="AK16" s="85"/>
      <c r="AL16" s="85"/>
      <c r="AM16" s="85"/>
      <c r="AN16" s="85"/>
      <c r="AO16" s="85"/>
      <c r="AP16" s="85"/>
      <c r="AQ16" s="85"/>
      <c r="AR16" s="85"/>
      <c r="AS16" s="85"/>
    </row>
    <row r="17" spans="1:45" s="52" customFormat="1" ht="51.75" customHeight="1" thickBot="1" x14ac:dyDescent="0.3">
      <c r="A17" s="2211"/>
      <c r="B17" s="2216"/>
      <c r="C17" s="2216"/>
      <c r="D17" s="2216"/>
      <c r="E17" s="2216"/>
      <c r="F17" s="2229"/>
      <c r="G17" s="2267"/>
      <c r="H17" s="2307"/>
      <c r="I17" s="934" t="s">
        <v>81</v>
      </c>
      <c r="J17" s="934" t="s">
        <v>442</v>
      </c>
      <c r="K17" s="934" t="s">
        <v>81</v>
      </c>
      <c r="L17" s="934" t="s">
        <v>442</v>
      </c>
      <c r="M17" s="934" t="s">
        <v>81</v>
      </c>
      <c r="N17" s="934" t="s">
        <v>442</v>
      </c>
      <c r="O17" s="2194"/>
      <c r="P17" s="2302"/>
      <c r="Q17" s="2286"/>
      <c r="R17" s="2299"/>
      <c r="S17" s="2296"/>
      <c r="T17" s="2294"/>
      <c r="U17" s="780" t="s">
        <v>1495</v>
      </c>
      <c r="V17" s="781" t="s">
        <v>1302</v>
      </c>
      <c r="W17" s="2261"/>
      <c r="X17" s="85"/>
      <c r="Y17" s="85"/>
      <c r="Z17" s="85"/>
      <c r="AA17" s="85"/>
      <c r="AB17" s="85"/>
      <c r="AC17" s="85"/>
      <c r="AD17" s="85"/>
      <c r="AE17" s="85"/>
      <c r="AF17" s="85"/>
      <c r="AG17" s="85"/>
      <c r="AH17" s="85"/>
      <c r="AI17" s="85"/>
      <c r="AJ17" s="85"/>
      <c r="AK17" s="85"/>
      <c r="AL17" s="85"/>
      <c r="AM17" s="85"/>
      <c r="AN17" s="85"/>
      <c r="AO17" s="85"/>
      <c r="AP17" s="85"/>
      <c r="AQ17" s="85"/>
      <c r="AR17" s="85"/>
      <c r="AS17" s="85"/>
    </row>
    <row r="18" spans="1:45" s="52" customFormat="1" ht="30.6" customHeight="1" thickBot="1" x14ac:dyDescent="0.3">
      <c r="A18" s="782" t="s">
        <v>9</v>
      </c>
      <c r="B18" s="2207">
        <v>2</v>
      </c>
      <c r="C18" s="2207"/>
      <c r="D18" s="2207"/>
      <c r="E18" s="2207"/>
      <c r="F18" s="1551">
        <v>3</v>
      </c>
      <c r="G18" s="1551">
        <v>4</v>
      </c>
      <c r="H18" s="1551">
        <v>5</v>
      </c>
      <c r="I18" s="1551">
        <v>6</v>
      </c>
      <c r="J18" s="1551">
        <v>7</v>
      </c>
      <c r="K18" s="1551">
        <v>8</v>
      </c>
      <c r="L18" s="1551">
        <v>9</v>
      </c>
      <c r="M18" s="1551">
        <v>10</v>
      </c>
      <c r="N18" s="1551">
        <v>11</v>
      </c>
      <c r="O18" s="349">
        <v>12</v>
      </c>
      <c r="P18" s="967">
        <v>13</v>
      </c>
      <c r="Q18" s="348">
        <v>14</v>
      </c>
      <c r="R18" s="348">
        <v>15</v>
      </c>
      <c r="S18" s="348">
        <v>16</v>
      </c>
      <c r="T18" s="619">
        <v>17</v>
      </c>
      <c r="U18" s="620" t="s">
        <v>1211</v>
      </c>
      <c r="V18" s="621" t="s">
        <v>1212</v>
      </c>
      <c r="W18" s="622">
        <v>19</v>
      </c>
      <c r="X18" s="85"/>
      <c r="Y18" s="85"/>
      <c r="Z18" s="85"/>
      <c r="AA18" s="85"/>
      <c r="AB18" s="85"/>
      <c r="AC18" s="85"/>
      <c r="AD18" s="85"/>
      <c r="AE18" s="85"/>
      <c r="AF18" s="85"/>
      <c r="AG18" s="85"/>
      <c r="AH18" s="85"/>
      <c r="AI18" s="85"/>
      <c r="AJ18" s="85"/>
      <c r="AK18" s="85"/>
      <c r="AL18" s="85"/>
      <c r="AM18" s="85"/>
      <c r="AN18" s="85"/>
      <c r="AO18" s="85"/>
      <c r="AP18" s="85"/>
      <c r="AQ18" s="85"/>
      <c r="AR18" s="85"/>
      <c r="AS18" s="85"/>
    </row>
    <row r="19" spans="1:45" s="52" customFormat="1" ht="38.1" customHeight="1" thickBot="1" x14ac:dyDescent="0.3">
      <c r="A19" s="968">
        <v>1</v>
      </c>
      <c r="B19" s="2271" t="s">
        <v>197</v>
      </c>
      <c r="C19" s="2271"/>
      <c r="D19" s="2271"/>
      <c r="E19" s="2271"/>
      <c r="F19" s="969">
        <v>0</v>
      </c>
      <c r="G19" s="970">
        <f>SUM(H19:O19)</f>
        <v>27114576</v>
      </c>
      <c r="H19" s="971">
        <f>'Дод_Надходж ПМГ '!E9</f>
        <v>14296309</v>
      </c>
      <c r="I19" s="1554">
        <v>0</v>
      </c>
      <c r="J19" s="1554">
        <v>9068303</v>
      </c>
      <c r="K19" s="1555">
        <f>3189676-733400+735700</f>
        <v>3191976</v>
      </c>
      <c r="L19" s="1556">
        <v>95</v>
      </c>
      <c r="M19" s="1557">
        <f>M20+M21</f>
        <v>61275</v>
      </c>
      <c r="N19" s="1554">
        <v>477416</v>
      </c>
      <c r="O19" s="972">
        <f>I54</f>
        <v>19202</v>
      </c>
      <c r="P19" s="783">
        <v>0</v>
      </c>
      <c r="Q19" s="783">
        <v>0</v>
      </c>
      <c r="R19" s="784" t="str">
        <f>IF('Звіт   4,5,6'!E39=0,"Дані не введено",IF(ROUND(('Звіт   9'!H38+R20-'Звіт   9'!K38),1)=ROUND((Q19/1000),1),"ПРАВДА","ПОМИЛКА"))</f>
        <v>ПРАВДА</v>
      </c>
      <c r="S19" s="785">
        <v>0</v>
      </c>
      <c r="T19" s="786">
        <f>'Звіт   4,5,6'!H21</f>
        <v>0</v>
      </c>
      <c r="U19" s="787">
        <v>0</v>
      </c>
      <c r="V19" s="788">
        <v>0</v>
      </c>
      <c r="W19" s="618" t="str">
        <f>IF('Звіт   4,5,6'!E39=0,"Дані не введено",IF(AND('Звіт   9'!H39+W20-'Звіт   9'!K39=ROUND(((U19+V19)/1000),1),X20=('Звіт   9'!K50-'Звіт   9'!H50)),"ПРАВДА","ПОМИЛКА"))</f>
        <v>ПРАВДА</v>
      </c>
      <c r="X19" s="85"/>
      <c r="Y19" s="85"/>
      <c r="Z19" s="85"/>
      <c r="AA19" s="85"/>
      <c r="AB19" s="85"/>
      <c r="AC19" s="85"/>
      <c r="AD19" s="85"/>
      <c r="AE19" s="85"/>
      <c r="AF19" s="85"/>
      <c r="AG19" s="85"/>
      <c r="AH19" s="85"/>
      <c r="AI19" s="85"/>
      <c r="AJ19" s="85"/>
      <c r="AK19" s="85"/>
      <c r="AL19" s="85"/>
      <c r="AM19" s="85"/>
      <c r="AN19" s="85"/>
      <c r="AO19" s="85"/>
      <c r="AP19" s="85"/>
      <c r="AQ19" s="85"/>
      <c r="AR19" s="85"/>
      <c r="AS19" s="85"/>
    </row>
    <row r="20" spans="1:45" s="52" customFormat="1" ht="42" customHeight="1" x14ac:dyDescent="0.25">
      <c r="A20" s="660"/>
      <c r="B20" s="315"/>
      <c r="C20" s="315"/>
      <c r="D20" s="315"/>
      <c r="E20" s="315"/>
      <c r="F20" s="157"/>
      <c r="G20" s="1436"/>
      <c r="H20" s="157"/>
      <c r="I20" s="157"/>
      <c r="J20" s="157"/>
      <c r="K20" s="2191" t="s">
        <v>1768</v>
      </c>
      <c r="L20" s="2191"/>
      <c r="M20" s="387">
        <v>61275</v>
      </c>
      <c r="N20" s="157"/>
      <c r="O20" s="157"/>
      <c r="P20" s="2290" t="s">
        <v>1309</v>
      </c>
      <c r="Q20" s="2291"/>
      <c r="R20" s="1435">
        <f>ROUND(('Звіт 1,2,3'!P19/1000),1)</f>
        <v>0</v>
      </c>
      <c r="S20" s="110"/>
      <c r="T20" s="2290" t="s">
        <v>834</v>
      </c>
      <c r="U20" s="2291"/>
      <c r="V20" s="789"/>
      <c r="W20" s="1435">
        <f>ROUND((T19/1000),1)</f>
        <v>0</v>
      </c>
      <c r="X20" s="1435">
        <f>ROUND((V19/1000),1)</f>
        <v>0</v>
      </c>
      <c r="Y20" s="85"/>
      <c r="Z20" s="85"/>
      <c r="AA20" s="85"/>
      <c r="AB20" s="85"/>
      <c r="AC20" s="85"/>
      <c r="AD20" s="85"/>
      <c r="AE20" s="85"/>
      <c r="AF20" s="85"/>
      <c r="AG20" s="85"/>
      <c r="AH20" s="85"/>
      <c r="AI20" s="85"/>
      <c r="AJ20" s="85"/>
      <c r="AK20" s="85"/>
      <c r="AL20" s="85"/>
      <c r="AM20" s="85"/>
      <c r="AN20" s="85"/>
      <c r="AO20" s="85"/>
      <c r="AP20" s="85"/>
      <c r="AQ20" s="85"/>
      <c r="AR20" s="85"/>
      <c r="AS20" s="85"/>
    </row>
    <row r="21" spans="1:45" s="52" customFormat="1" ht="33" customHeight="1" x14ac:dyDescent="0.25">
      <c r="A21" s="660"/>
      <c r="B21" s="315"/>
      <c r="C21" s="315"/>
      <c r="D21" s="315"/>
      <c r="E21" s="315"/>
      <c r="F21" s="157"/>
      <c r="G21" s="331"/>
      <c r="H21" s="158"/>
      <c r="I21" s="157"/>
      <c r="J21" s="157"/>
      <c r="K21" s="2192" t="s">
        <v>1769</v>
      </c>
      <c r="L21" s="2192"/>
      <c r="M21" s="387">
        <v>0</v>
      </c>
      <c r="N21" s="157"/>
      <c r="O21" s="158"/>
      <c r="P21" s="1360" t="s">
        <v>830</v>
      </c>
      <c r="Q21" s="1361" t="s">
        <v>831</v>
      </c>
      <c r="R21" s="110"/>
      <c r="S21" s="110"/>
      <c r="T21" s="1360" t="s">
        <v>830</v>
      </c>
      <c r="U21" s="1361" t="s">
        <v>831</v>
      </c>
      <c r="V21" s="789"/>
      <c r="W21" s="85"/>
      <c r="X21" s="85"/>
      <c r="Y21" s="85"/>
      <c r="Z21" s="85"/>
      <c r="AA21" s="85"/>
      <c r="AB21" s="85"/>
      <c r="AC21" s="85"/>
      <c r="AD21" s="85"/>
      <c r="AE21" s="85"/>
      <c r="AF21" s="85"/>
      <c r="AG21" s="85"/>
      <c r="AH21" s="85"/>
      <c r="AI21" s="85"/>
      <c r="AJ21" s="85"/>
      <c r="AK21" s="85"/>
      <c r="AL21" s="85"/>
      <c r="AM21" s="85"/>
      <c r="AN21" s="85"/>
      <c r="AO21" s="85"/>
      <c r="AP21" s="85"/>
      <c r="AQ21" s="85"/>
      <c r="AR21" s="85"/>
      <c r="AS21" s="85"/>
    </row>
    <row r="22" spans="1:45" s="143" customFormat="1" ht="31.5" customHeight="1" thickBot="1" x14ac:dyDescent="0.3">
      <c r="A22" s="2206" t="s">
        <v>587</v>
      </c>
      <c r="B22" s="2206"/>
      <c r="C22" s="2206"/>
      <c r="D22" s="2206"/>
      <c r="E22" s="2206"/>
      <c r="F22" s="157"/>
      <c r="G22" s="158"/>
      <c r="H22" s="158"/>
      <c r="I22" s="157"/>
      <c r="J22" s="157"/>
      <c r="K22" s="157"/>
      <c r="L22" s="157"/>
      <c r="M22" s="157"/>
      <c r="N22" s="157"/>
      <c r="O22" s="158"/>
      <c r="P22" s="790">
        <f>'Звіт   9'!H38</f>
        <v>0</v>
      </c>
      <c r="Q22" s="791">
        <f>'Звіт   9'!K38</f>
        <v>0</v>
      </c>
      <c r="R22" s="1362"/>
      <c r="S22" s="1363"/>
      <c r="T22" s="790">
        <f>'Звіт   9'!H39</f>
        <v>226</v>
      </c>
      <c r="U22" s="791">
        <f>'Звіт   9'!K39</f>
        <v>226</v>
      </c>
      <c r="V22" s="792"/>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row>
    <row r="23" spans="1:45" s="143" customFormat="1" ht="31.35" customHeight="1" x14ac:dyDescent="0.25">
      <c r="A23" s="2209" t="s">
        <v>6</v>
      </c>
      <c r="B23" s="2212" t="s">
        <v>7</v>
      </c>
      <c r="C23" s="2212"/>
      <c r="D23" s="2212"/>
      <c r="E23" s="2213"/>
      <c r="F23" s="2200" t="s">
        <v>440</v>
      </c>
      <c r="G23" s="2203" t="s">
        <v>485</v>
      </c>
      <c r="H23" s="2204"/>
      <c r="I23" s="2204"/>
      <c r="J23" s="2204"/>
      <c r="K23" s="2204"/>
      <c r="L23" s="2204"/>
      <c r="M23" s="2204"/>
      <c r="N23" s="2204"/>
      <c r="O23" s="2205"/>
      <c r="P23" s="156"/>
      <c r="Q23" s="346"/>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row>
    <row r="24" spans="1:45" s="143" customFormat="1" ht="25.5" customHeight="1" x14ac:dyDescent="0.25">
      <c r="A24" s="2210"/>
      <c r="B24" s="2214"/>
      <c r="C24" s="2214"/>
      <c r="D24" s="2214"/>
      <c r="E24" s="2215"/>
      <c r="F24" s="2201"/>
      <c r="G24" s="2219" t="s">
        <v>588</v>
      </c>
      <c r="H24" s="2186" t="s">
        <v>486</v>
      </c>
      <c r="I24" s="2186"/>
      <c r="J24" s="2186"/>
      <c r="K24" s="2186"/>
      <c r="L24" s="2186"/>
      <c r="M24" s="2186"/>
      <c r="N24" s="2186"/>
      <c r="O24" s="2221"/>
      <c r="P24" s="156"/>
      <c r="Q24" s="346"/>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row>
    <row r="25" spans="1:45" s="143" customFormat="1" ht="31.9" customHeight="1" x14ac:dyDescent="0.25">
      <c r="A25" s="2210"/>
      <c r="B25" s="2214"/>
      <c r="C25" s="2214"/>
      <c r="D25" s="2214"/>
      <c r="E25" s="2215"/>
      <c r="F25" s="2201"/>
      <c r="G25" s="2219"/>
      <c r="H25" s="2199" t="s">
        <v>586</v>
      </c>
      <c r="I25" s="2199" t="s">
        <v>524</v>
      </c>
      <c r="J25" s="2199"/>
      <c r="K25" s="2199"/>
      <c r="L25" s="2199"/>
      <c r="M25" s="2199"/>
      <c r="N25" s="2199"/>
      <c r="O25" s="2193" t="s">
        <v>847</v>
      </c>
      <c r="P25" s="156"/>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row>
    <row r="26" spans="1:45" s="143" customFormat="1" ht="55.5" customHeight="1" x14ac:dyDescent="0.25">
      <c r="A26" s="2210"/>
      <c r="B26" s="2214"/>
      <c r="C26" s="2214"/>
      <c r="D26" s="2214"/>
      <c r="E26" s="2215"/>
      <c r="F26" s="2201"/>
      <c r="G26" s="2219"/>
      <c r="H26" s="2199"/>
      <c r="I26" s="2186" t="s">
        <v>207</v>
      </c>
      <c r="J26" s="2186"/>
      <c r="K26" s="2186" t="s">
        <v>188</v>
      </c>
      <c r="L26" s="2186"/>
      <c r="M26" s="2186" t="s">
        <v>13</v>
      </c>
      <c r="N26" s="2186"/>
      <c r="O26" s="2193"/>
      <c r="P26" s="156"/>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row>
    <row r="27" spans="1:45" s="143" customFormat="1" ht="46.5" customHeight="1" thickBot="1" x14ac:dyDescent="0.3">
      <c r="A27" s="2211"/>
      <c r="B27" s="2216"/>
      <c r="C27" s="2216"/>
      <c r="D27" s="2216"/>
      <c r="E27" s="2217"/>
      <c r="F27" s="2202"/>
      <c r="G27" s="2220"/>
      <c r="H27" s="2218"/>
      <c r="I27" s="934" t="s">
        <v>81</v>
      </c>
      <c r="J27" s="934" t="s">
        <v>442</v>
      </c>
      <c r="K27" s="934" t="s">
        <v>81</v>
      </c>
      <c r="L27" s="934" t="s">
        <v>442</v>
      </c>
      <c r="M27" s="934" t="s">
        <v>81</v>
      </c>
      <c r="N27" s="934" t="s">
        <v>442</v>
      </c>
      <c r="O27" s="2194"/>
      <c r="P27" s="156"/>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row>
    <row r="28" spans="1:45" s="143" customFormat="1" ht="24" customHeight="1" thickBot="1" x14ac:dyDescent="0.3">
      <c r="A28" s="782" t="s">
        <v>9</v>
      </c>
      <c r="B28" s="2207">
        <v>2</v>
      </c>
      <c r="C28" s="2207"/>
      <c r="D28" s="2207"/>
      <c r="E28" s="2208"/>
      <c r="F28" s="1010">
        <v>3</v>
      </c>
      <c r="G28" s="330">
        <v>4</v>
      </c>
      <c r="H28" s="936">
        <v>5</v>
      </c>
      <c r="I28" s="936">
        <v>6</v>
      </c>
      <c r="J28" s="936">
        <v>7</v>
      </c>
      <c r="K28" s="936">
        <v>8</v>
      </c>
      <c r="L28" s="936">
        <v>9</v>
      </c>
      <c r="M28" s="936">
        <v>10</v>
      </c>
      <c r="N28" s="936">
        <v>11</v>
      </c>
      <c r="O28" s="349">
        <v>12</v>
      </c>
      <c r="P28" s="156"/>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row>
    <row r="29" spans="1:45" s="52" customFormat="1" ht="29.25" customHeight="1" x14ac:dyDescent="0.25">
      <c r="A29" s="352">
        <v>2</v>
      </c>
      <c r="B29" s="2195" t="s">
        <v>1303</v>
      </c>
      <c r="C29" s="2195"/>
      <c r="D29" s="2195"/>
      <c r="E29" s="2196"/>
      <c r="F29" s="1011">
        <f>SUM(F30+F40+F41+F42+F43+F44+F45+F46+F47)</f>
        <v>0</v>
      </c>
      <c r="G29" s="964">
        <f>SUM(H29,I29,J29,K29,L29,O29,M29,N29)</f>
        <v>10833691</v>
      </c>
      <c r="H29" s="953">
        <f>SUM(H30+H40+H41+H42+H43+H44+H45+H46+H47+H48)</f>
        <v>1226602</v>
      </c>
      <c r="I29" s="953">
        <f>SUM(I30+I40+I41+I42+I43+I44+I45+I46+I47+I48)</f>
        <v>0</v>
      </c>
      <c r="J29" s="953">
        <f>SUM(J30+J40+J41+J42+J43+J44+J45+J46+J47)</f>
        <v>9068303</v>
      </c>
      <c r="K29" s="953">
        <f>SUM(K30+K40+K41+K42+K43+K44+K45+K46+K47+K48)</f>
        <v>0</v>
      </c>
      <c r="L29" s="953">
        <f>SUM(L30+L40+L41+L42+L43+L44+L45+L46+L47)</f>
        <v>95</v>
      </c>
      <c r="M29" s="953">
        <f>SUM(M30+M40+M41+M42+M43+M44+M45+M46+M47+M48)</f>
        <v>61275</v>
      </c>
      <c r="N29" s="953">
        <f>SUM(N30+N40+N41+N42+N43+N44+N45+N46+N47)</f>
        <v>477416</v>
      </c>
      <c r="O29" s="954">
        <f>SUM(O30+O40+O41+O42+O43+O44+O45+O46+O47+O48+O49)</f>
        <v>0</v>
      </c>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row>
    <row r="30" spans="1:45" s="52" customFormat="1" ht="27.6" customHeight="1" x14ac:dyDescent="0.25">
      <c r="A30" s="242" t="s">
        <v>57</v>
      </c>
      <c r="B30" s="2187" t="s">
        <v>198</v>
      </c>
      <c r="C30" s="2187"/>
      <c r="D30" s="2187"/>
      <c r="E30" s="2188"/>
      <c r="F30" s="1012">
        <f>SUM(F31:F39)</f>
        <v>0</v>
      </c>
      <c r="G30" s="965">
        <f>SUM(H30,I30,J30,K30,L30,O30,M30+N30)</f>
        <v>10644660</v>
      </c>
      <c r="H30" s="948">
        <f t="shared" ref="H30:O30" si="0">SUM(H31:H39)</f>
        <v>1124108</v>
      </c>
      <c r="I30" s="948">
        <f t="shared" si="0"/>
        <v>0</v>
      </c>
      <c r="J30" s="948">
        <f t="shared" si="0"/>
        <v>9068303</v>
      </c>
      <c r="K30" s="948">
        <f t="shared" si="0"/>
        <v>0</v>
      </c>
      <c r="L30" s="948">
        <f t="shared" si="0"/>
        <v>0</v>
      </c>
      <c r="M30" s="948">
        <f t="shared" si="0"/>
        <v>0</v>
      </c>
      <c r="N30" s="948">
        <f t="shared" si="0"/>
        <v>452249</v>
      </c>
      <c r="O30" s="951">
        <f t="shared" si="0"/>
        <v>0</v>
      </c>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row>
    <row r="31" spans="1:45" s="52" customFormat="1" ht="29.65" customHeight="1" x14ac:dyDescent="0.25">
      <c r="A31" s="30" t="s">
        <v>59</v>
      </c>
      <c r="B31" s="2197" t="s">
        <v>20</v>
      </c>
      <c r="C31" s="2197"/>
      <c r="D31" s="2197"/>
      <c r="E31" s="2198"/>
      <c r="F31" s="1013">
        <v>0</v>
      </c>
      <c r="G31" s="965">
        <f>SUM(H31,I31,J31,K31,L31,O31,M31+N31)</f>
        <v>9696136</v>
      </c>
      <c r="H31" s="949">
        <v>231773</v>
      </c>
      <c r="I31" s="949">
        <v>0</v>
      </c>
      <c r="J31" s="949">
        <v>9068303</v>
      </c>
      <c r="K31" s="949">
        <v>0</v>
      </c>
      <c r="L31" s="949">
        <v>0</v>
      </c>
      <c r="M31" s="949">
        <v>0</v>
      </c>
      <c r="N31" s="949">
        <v>396060</v>
      </c>
      <c r="O31" s="625">
        <v>0</v>
      </c>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row>
    <row r="32" spans="1:45" s="52" customFormat="1" ht="30.6" customHeight="1" x14ac:dyDescent="0.25">
      <c r="A32" s="28" t="s">
        <v>60</v>
      </c>
      <c r="B32" s="2197" t="s">
        <v>1247</v>
      </c>
      <c r="C32" s="2197"/>
      <c r="D32" s="2197"/>
      <c r="E32" s="2198"/>
      <c r="F32" s="1013">
        <v>0</v>
      </c>
      <c r="G32" s="965">
        <f t="shared" ref="G32:G46" si="1">SUM(H32,I32,J32,K32,L32,O32,M32+N32)</f>
        <v>47122</v>
      </c>
      <c r="H32" s="949">
        <v>31145</v>
      </c>
      <c r="I32" s="949">
        <v>0</v>
      </c>
      <c r="J32" s="949">
        <v>0</v>
      </c>
      <c r="K32" s="949">
        <v>0</v>
      </c>
      <c r="L32" s="949">
        <v>0</v>
      </c>
      <c r="M32" s="949">
        <v>0</v>
      </c>
      <c r="N32" s="949">
        <v>15977</v>
      </c>
      <c r="O32" s="625">
        <v>0</v>
      </c>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row>
    <row r="33" spans="1:45" s="52" customFormat="1" ht="58.5" customHeight="1" x14ac:dyDescent="0.25">
      <c r="A33" s="30" t="s">
        <v>61</v>
      </c>
      <c r="B33" s="2197" t="s">
        <v>92</v>
      </c>
      <c r="C33" s="2197"/>
      <c r="D33" s="2197"/>
      <c r="E33" s="2198"/>
      <c r="F33" s="1013">
        <v>0</v>
      </c>
      <c r="G33" s="965">
        <f t="shared" si="1"/>
        <v>0</v>
      </c>
      <c r="H33" s="949">
        <v>0</v>
      </c>
      <c r="I33" s="949">
        <v>0</v>
      </c>
      <c r="J33" s="949">
        <v>0</v>
      </c>
      <c r="K33" s="949">
        <v>0</v>
      </c>
      <c r="L33" s="949">
        <v>0</v>
      </c>
      <c r="M33" s="949">
        <v>0</v>
      </c>
      <c r="N33" s="949">
        <v>0</v>
      </c>
      <c r="O33" s="625">
        <v>0</v>
      </c>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row>
    <row r="34" spans="1:45" s="52" customFormat="1" ht="30" customHeight="1" x14ac:dyDescent="0.25">
      <c r="A34" s="30" t="s">
        <v>83</v>
      </c>
      <c r="B34" s="2197" t="s">
        <v>1198</v>
      </c>
      <c r="C34" s="2197"/>
      <c r="D34" s="2197"/>
      <c r="E34" s="2198"/>
      <c r="F34" s="1013">
        <v>0</v>
      </c>
      <c r="G34" s="965">
        <f t="shared" si="1"/>
        <v>0</v>
      </c>
      <c r="H34" s="949">
        <v>0</v>
      </c>
      <c r="I34" s="949">
        <v>0</v>
      </c>
      <c r="J34" s="949">
        <v>0</v>
      </c>
      <c r="K34" s="949">
        <v>0</v>
      </c>
      <c r="L34" s="949">
        <v>0</v>
      </c>
      <c r="M34" s="949">
        <v>0</v>
      </c>
      <c r="N34" s="949">
        <v>0</v>
      </c>
      <c r="O34" s="625">
        <v>0</v>
      </c>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row>
    <row r="35" spans="1:45" s="52" customFormat="1" ht="30" customHeight="1" x14ac:dyDescent="0.25">
      <c r="A35" s="30" t="s">
        <v>84</v>
      </c>
      <c r="B35" s="2197" t="s">
        <v>1199</v>
      </c>
      <c r="C35" s="2197"/>
      <c r="D35" s="2197"/>
      <c r="E35" s="2198"/>
      <c r="F35" s="1013">
        <v>0</v>
      </c>
      <c r="G35" s="965">
        <f>SUM(H35,I35,J35,K35,L35,O35,M35+N35)</f>
        <v>0</v>
      </c>
      <c r="H35" s="949">
        <v>0</v>
      </c>
      <c r="I35" s="949">
        <v>0</v>
      </c>
      <c r="J35" s="949">
        <v>0</v>
      </c>
      <c r="K35" s="949">
        <v>0</v>
      </c>
      <c r="L35" s="949">
        <v>0</v>
      </c>
      <c r="M35" s="949">
        <v>0</v>
      </c>
      <c r="N35" s="949">
        <v>0</v>
      </c>
      <c r="O35" s="625">
        <v>0</v>
      </c>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row>
    <row r="36" spans="1:45" s="52" customFormat="1" ht="30" customHeight="1" x14ac:dyDescent="0.25">
      <c r="A36" s="30" t="s">
        <v>1193</v>
      </c>
      <c r="B36" s="2197" t="s">
        <v>1194</v>
      </c>
      <c r="C36" s="2197"/>
      <c r="D36" s="2197"/>
      <c r="E36" s="2198"/>
      <c r="F36" s="1013">
        <v>0</v>
      </c>
      <c r="G36" s="965">
        <f>SUM(H36,I36,J36,K36,L36,O36,M36+N36)</f>
        <v>0</v>
      </c>
      <c r="H36" s="949">
        <v>0</v>
      </c>
      <c r="I36" s="949">
        <v>0</v>
      </c>
      <c r="J36" s="949">
        <v>0</v>
      </c>
      <c r="K36" s="949">
        <v>0</v>
      </c>
      <c r="L36" s="949">
        <v>0</v>
      </c>
      <c r="M36" s="949">
        <v>0</v>
      </c>
      <c r="N36" s="949">
        <v>0</v>
      </c>
      <c r="O36" s="625">
        <v>0</v>
      </c>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row>
    <row r="37" spans="1:45" s="52" customFormat="1" ht="30" customHeight="1" x14ac:dyDescent="0.25">
      <c r="A37" s="30" t="s">
        <v>1195</v>
      </c>
      <c r="B37" s="2197" t="s">
        <v>320</v>
      </c>
      <c r="C37" s="2197"/>
      <c r="D37" s="2197"/>
      <c r="E37" s="2198"/>
      <c r="F37" s="1013">
        <v>0</v>
      </c>
      <c r="G37" s="965">
        <f>SUM(H37,I37,J37,K37,L37,O37,M37+N37)</f>
        <v>289726</v>
      </c>
      <c r="H37" s="949">
        <v>250800</v>
      </c>
      <c r="I37" s="949">
        <v>0</v>
      </c>
      <c r="J37" s="949">
        <v>0</v>
      </c>
      <c r="K37" s="949">
        <v>0</v>
      </c>
      <c r="L37" s="949">
        <v>0</v>
      </c>
      <c r="M37" s="949">
        <v>0</v>
      </c>
      <c r="N37" s="949">
        <v>38926</v>
      </c>
      <c r="O37" s="625">
        <v>0</v>
      </c>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row>
    <row r="38" spans="1:45" s="52" customFormat="1" ht="30" customHeight="1" x14ac:dyDescent="0.25">
      <c r="A38" s="30" t="s">
        <v>1197</v>
      </c>
      <c r="B38" s="2197" t="s">
        <v>1196</v>
      </c>
      <c r="C38" s="2197"/>
      <c r="D38" s="2197"/>
      <c r="E38" s="2198"/>
      <c r="F38" s="1013">
        <v>0</v>
      </c>
      <c r="G38" s="965">
        <f>SUM(H38,I38,J38,K38,L38,O38,M38+N38)</f>
        <v>610390</v>
      </c>
      <c r="H38" s="949">
        <v>610390</v>
      </c>
      <c r="I38" s="949">
        <v>0</v>
      </c>
      <c r="J38" s="949">
        <v>0</v>
      </c>
      <c r="K38" s="949">
        <v>0</v>
      </c>
      <c r="L38" s="949">
        <v>0</v>
      </c>
      <c r="M38" s="949">
        <v>0</v>
      </c>
      <c r="N38" s="949">
        <v>0</v>
      </c>
      <c r="O38" s="625">
        <v>0</v>
      </c>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row>
    <row r="39" spans="1:45" s="52" customFormat="1" ht="25.9" customHeight="1" x14ac:dyDescent="0.25">
      <c r="A39" s="30" t="s">
        <v>1200</v>
      </c>
      <c r="B39" s="2189" t="s">
        <v>52</v>
      </c>
      <c r="C39" s="2189"/>
      <c r="D39" s="2189"/>
      <c r="E39" s="2190"/>
      <c r="F39" s="1013">
        <v>0</v>
      </c>
      <c r="G39" s="965">
        <f t="shared" si="1"/>
        <v>1286</v>
      </c>
      <c r="H39" s="949">
        <v>0</v>
      </c>
      <c r="I39" s="949">
        <v>0</v>
      </c>
      <c r="J39" s="949">
        <v>0</v>
      </c>
      <c r="K39" s="949">
        <v>0</v>
      </c>
      <c r="L39" s="949">
        <v>0</v>
      </c>
      <c r="M39" s="949">
        <v>0</v>
      </c>
      <c r="N39" s="949">
        <v>1286</v>
      </c>
      <c r="O39" s="625">
        <v>0</v>
      </c>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row>
    <row r="40" spans="1:45" s="52" customFormat="1" ht="31.35" customHeight="1" x14ac:dyDescent="0.25">
      <c r="A40" s="242" t="s">
        <v>58</v>
      </c>
      <c r="B40" s="2187" t="s">
        <v>48</v>
      </c>
      <c r="C40" s="2187"/>
      <c r="D40" s="2187"/>
      <c r="E40" s="2188"/>
      <c r="F40" s="1013">
        <v>0</v>
      </c>
      <c r="G40" s="965">
        <f t="shared" si="1"/>
        <v>0</v>
      </c>
      <c r="H40" s="949">
        <v>0</v>
      </c>
      <c r="I40" s="949">
        <v>0</v>
      </c>
      <c r="J40" s="949">
        <v>0</v>
      </c>
      <c r="K40" s="949">
        <v>0</v>
      </c>
      <c r="L40" s="949">
        <v>0</v>
      </c>
      <c r="M40" s="949">
        <v>0</v>
      </c>
      <c r="N40" s="949">
        <v>0</v>
      </c>
      <c r="O40" s="625">
        <v>0</v>
      </c>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row>
    <row r="41" spans="1:45" s="52" customFormat="1" ht="28.9" customHeight="1" x14ac:dyDescent="0.25">
      <c r="A41" s="242" t="s">
        <v>62</v>
      </c>
      <c r="B41" s="2187" t="s">
        <v>430</v>
      </c>
      <c r="C41" s="2187"/>
      <c r="D41" s="2187"/>
      <c r="E41" s="2188"/>
      <c r="F41" s="1013">
        <v>0</v>
      </c>
      <c r="G41" s="965">
        <f t="shared" si="1"/>
        <v>82741</v>
      </c>
      <c r="H41" s="949">
        <v>45530</v>
      </c>
      <c r="I41" s="949">
        <v>0</v>
      </c>
      <c r="J41" s="949">
        <v>0</v>
      </c>
      <c r="K41" s="949">
        <v>0</v>
      </c>
      <c r="L41" s="949">
        <v>0</v>
      </c>
      <c r="M41" s="949">
        <v>36283</v>
      </c>
      <c r="N41" s="949">
        <v>928</v>
      </c>
      <c r="O41" s="625">
        <v>0</v>
      </c>
      <c r="P41" s="89"/>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row>
    <row r="42" spans="1:45" s="52" customFormat="1" ht="27" customHeight="1" x14ac:dyDescent="0.25">
      <c r="A42" s="242" t="s">
        <v>63</v>
      </c>
      <c r="B42" s="2187" t="s">
        <v>49</v>
      </c>
      <c r="C42" s="2187"/>
      <c r="D42" s="2187"/>
      <c r="E42" s="2188"/>
      <c r="F42" s="1013">
        <v>0</v>
      </c>
      <c r="G42" s="965">
        <f t="shared" si="1"/>
        <v>0</v>
      </c>
      <c r="H42" s="949">
        <v>0</v>
      </c>
      <c r="I42" s="949">
        <v>0</v>
      </c>
      <c r="J42" s="949">
        <v>0</v>
      </c>
      <c r="K42" s="949">
        <v>0</v>
      </c>
      <c r="L42" s="949">
        <v>0</v>
      </c>
      <c r="M42" s="949">
        <v>0</v>
      </c>
      <c r="N42" s="949">
        <v>0</v>
      </c>
      <c r="O42" s="625">
        <v>0</v>
      </c>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row>
    <row r="43" spans="1:45" s="52" customFormat="1" ht="24" customHeight="1" x14ac:dyDescent="0.25">
      <c r="A43" s="242" t="s">
        <v>64</v>
      </c>
      <c r="B43" s="2187" t="s">
        <v>22</v>
      </c>
      <c r="C43" s="2187"/>
      <c r="D43" s="2187"/>
      <c r="E43" s="2188"/>
      <c r="F43" s="1013">
        <v>0</v>
      </c>
      <c r="G43" s="965">
        <f t="shared" si="1"/>
        <v>46397</v>
      </c>
      <c r="H43" s="949">
        <v>46397</v>
      </c>
      <c r="I43" s="949">
        <v>0</v>
      </c>
      <c r="J43" s="949">
        <v>0</v>
      </c>
      <c r="K43" s="949">
        <v>0</v>
      </c>
      <c r="L43" s="949">
        <v>0</v>
      </c>
      <c r="M43" s="949">
        <v>0</v>
      </c>
      <c r="N43" s="949">
        <v>0</v>
      </c>
      <c r="O43" s="625">
        <v>0</v>
      </c>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row>
    <row r="44" spans="1:45" s="52" customFormat="1" ht="27" customHeight="1" x14ac:dyDescent="0.25">
      <c r="A44" s="242" t="s">
        <v>65</v>
      </c>
      <c r="B44" s="2187" t="s">
        <v>50</v>
      </c>
      <c r="C44" s="2187"/>
      <c r="D44" s="2187"/>
      <c r="E44" s="2188"/>
      <c r="F44" s="1013">
        <v>0</v>
      </c>
      <c r="G44" s="965">
        <f t="shared" si="1"/>
        <v>37211</v>
      </c>
      <c r="H44" s="949">
        <v>4328</v>
      </c>
      <c r="I44" s="949">
        <v>0</v>
      </c>
      <c r="J44" s="949">
        <v>0</v>
      </c>
      <c r="K44" s="949">
        <v>0</v>
      </c>
      <c r="L44" s="949">
        <v>0</v>
      </c>
      <c r="M44" s="949">
        <v>24992</v>
      </c>
      <c r="N44" s="949">
        <v>7891</v>
      </c>
      <c r="O44" s="625">
        <v>0</v>
      </c>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row>
    <row r="45" spans="1:45" s="52" customFormat="1" ht="24.6" customHeight="1" x14ac:dyDescent="0.25">
      <c r="A45" s="242" t="s">
        <v>66</v>
      </c>
      <c r="B45" s="2187" t="s">
        <v>51</v>
      </c>
      <c r="C45" s="2187"/>
      <c r="D45" s="2187"/>
      <c r="E45" s="2188"/>
      <c r="F45" s="1013">
        <v>0</v>
      </c>
      <c r="G45" s="965">
        <f t="shared" si="1"/>
        <v>0</v>
      </c>
      <c r="H45" s="949">
        <v>0</v>
      </c>
      <c r="I45" s="949">
        <v>0</v>
      </c>
      <c r="J45" s="949">
        <v>0</v>
      </c>
      <c r="K45" s="949">
        <v>0</v>
      </c>
      <c r="L45" s="949">
        <v>0</v>
      </c>
      <c r="M45" s="949">
        <v>0</v>
      </c>
      <c r="N45" s="949">
        <v>0</v>
      </c>
      <c r="O45" s="625">
        <v>0</v>
      </c>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row>
    <row r="46" spans="1:45" ht="31.35" customHeight="1" x14ac:dyDescent="0.25">
      <c r="A46" s="242" t="s">
        <v>67</v>
      </c>
      <c r="B46" s="2187" t="s">
        <v>340</v>
      </c>
      <c r="C46" s="2187"/>
      <c r="D46" s="2187"/>
      <c r="E46" s="2188"/>
      <c r="F46" s="1013">
        <v>0</v>
      </c>
      <c r="G46" s="965">
        <f t="shared" si="1"/>
        <v>0</v>
      </c>
      <c r="H46" s="949">
        <v>0</v>
      </c>
      <c r="I46" s="949">
        <v>0</v>
      </c>
      <c r="J46" s="949">
        <v>0</v>
      </c>
      <c r="K46" s="949">
        <v>0</v>
      </c>
      <c r="L46" s="949">
        <v>0</v>
      </c>
      <c r="M46" s="949">
        <v>0</v>
      </c>
      <c r="N46" s="949">
        <v>0</v>
      </c>
      <c r="O46" s="625">
        <v>0</v>
      </c>
    </row>
    <row r="47" spans="1:45" ht="27" customHeight="1" x14ac:dyDescent="0.25">
      <c r="A47" s="242" t="s">
        <v>68</v>
      </c>
      <c r="B47" s="2187" t="s">
        <v>52</v>
      </c>
      <c r="C47" s="2187"/>
      <c r="D47" s="2187"/>
      <c r="E47" s="2188"/>
      <c r="F47" s="1013">
        <v>0</v>
      </c>
      <c r="G47" s="965">
        <f>SUM(H47,I47,J47,K47,L47,O47,M47+N47)</f>
        <v>22682</v>
      </c>
      <c r="H47" s="949">
        <v>6239</v>
      </c>
      <c r="I47" s="949">
        <v>0</v>
      </c>
      <c r="J47" s="949">
        <v>0</v>
      </c>
      <c r="K47" s="949">
        <v>0</v>
      </c>
      <c r="L47" s="949">
        <v>95</v>
      </c>
      <c r="M47" s="949">
        <v>0</v>
      </c>
      <c r="N47" s="949">
        <v>16348</v>
      </c>
      <c r="O47" s="625">
        <v>0</v>
      </c>
    </row>
    <row r="48" spans="1:45" ht="30.6" customHeight="1" x14ac:dyDescent="0.25">
      <c r="A48" s="242" t="s">
        <v>840</v>
      </c>
      <c r="B48" s="2187" t="s">
        <v>787</v>
      </c>
      <c r="C48" s="2187"/>
      <c r="D48" s="2187"/>
      <c r="E48" s="2188"/>
      <c r="F48" s="1014">
        <v>0</v>
      </c>
      <c r="G48" s="965">
        <f>SUM(H48,I48,K48,M48,O48)</f>
        <v>0</v>
      </c>
      <c r="H48" s="949">
        <v>0</v>
      </c>
      <c r="I48" s="949">
        <v>0</v>
      </c>
      <c r="J48" s="950" t="s">
        <v>296</v>
      </c>
      <c r="K48" s="949">
        <v>0</v>
      </c>
      <c r="L48" s="950" t="s">
        <v>296</v>
      </c>
      <c r="M48" s="949">
        <v>0</v>
      </c>
      <c r="N48" s="950" t="s">
        <v>296</v>
      </c>
      <c r="O48" s="625">
        <v>0</v>
      </c>
    </row>
    <row r="49" spans="1:45" ht="30.6" customHeight="1" thickBot="1" x14ac:dyDescent="0.3">
      <c r="A49" s="354" t="s">
        <v>841</v>
      </c>
      <c r="B49" s="2222" t="s">
        <v>786</v>
      </c>
      <c r="C49" s="2222"/>
      <c r="D49" s="2222"/>
      <c r="E49" s="2223"/>
      <c r="F49" s="1015">
        <v>0</v>
      </c>
      <c r="G49" s="966">
        <f>O49</f>
        <v>0</v>
      </c>
      <c r="H49" s="952" t="s">
        <v>296</v>
      </c>
      <c r="I49" s="952" t="s">
        <v>296</v>
      </c>
      <c r="J49" s="952" t="s">
        <v>296</v>
      </c>
      <c r="K49" s="952" t="s">
        <v>296</v>
      </c>
      <c r="L49" s="952" t="s">
        <v>296</v>
      </c>
      <c r="M49" s="952" t="s">
        <v>296</v>
      </c>
      <c r="N49" s="952" t="s">
        <v>296</v>
      </c>
      <c r="O49" s="626">
        <v>0</v>
      </c>
    </row>
    <row r="50" spans="1:45" ht="30.6" customHeight="1" x14ac:dyDescent="0.25">
      <c r="A50" s="153" t="s">
        <v>1248</v>
      </c>
      <c r="B50" s="795"/>
      <c r="C50" s="795"/>
      <c r="D50" s="795"/>
      <c r="E50" s="795"/>
      <c r="F50" s="157"/>
      <c r="G50" s="157"/>
      <c r="H50" s="796"/>
      <c r="I50" s="796"/>
      <c r="J50" s="796"/>
      <c r="K50" s="796"/>
      <c r="L50" s="796"/>
      <c r="M50" s="796"/>
      <c r="N50" s="796"/>
      <c r="O50" s="663"/>
    </row>
    <row r="51" spans="1:45" s="12" customFormat="1" ht="30.6" customHeight="1" thickBot="1" x14ac:dyDescent="0.35">
      <c r="A51" s="797" t="s">
        <v>589</v>
      </c>
      <c r="B51" s="797"/>
      <c r="C51" s="798"/>
      <c r="D51" s="574"/>
      <c r="E51" s="574"/>
      <c r="F51" s="574"/>
      <c r="G51" s="2"/>
      <c r="H51" s="2"/>
      <c r="I51" s="84"/>
      <c r="J51" s="84"/>
      <c r="K51" s="87"/>
      <c r="L51" s="87"/>
      <c r="M51" s="87"/>
      <c r="N51" s="87"/>
      <c r="O51" s="84"/>
      <c r="P51" s="85"/>
      <c r="Q51" s="85"/>
      <c r="R51" s="85"/>
      <c r="S51" s="85"/>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row>
    <row r="52" spans="1:45" s="12" customFormat="1" ht="26.65" customHeight="1" thickBot="1" x14ac:dyDescent="0.3">
      <c r="A52" s="1643" t="s">
        <v>6</v>
      </c>
      <c r="B52" s="2287" t="s">
        <v>272</v>
      </c>
      <c r="C52" s="2288"/>
      <c r="D52" s="2288"/>
      <c r="E52" s="2288"/>
      <c r="F52" s="2288"/>
      <c r="G52" s="2288"/>
      <c r="H52" s="2288"/>
      <c r="I52" s="2288"/>
      <c r="J52" s="2288"/>
      <c r="K52" s="2288"/>
      <c r="L52" s="2288"/>
      <c r="M52" s="2288"/>
      <c r="N52" s="2288"/>
      <c r="O52" s="2289"/>
      <c r="P52" s="85"/>
      <c r="Q52" s="85"/>
      <c r="R52" s="85"/>
      <c r="S52" s="85"/>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row>
    <row r="53" spans="1:45" ht="20.25" customHeight="1" x14ac:dyDescent="0.25">
      <c r="A53" s="1552">
        <v>1</v>
      </c>
      <c r="B53" s="2212">
        <v>2</v>
      </c>
      <c r="C53" s="2212"/>
      <c r="D53" s="2212"/>
      <c r="E53" s="2212"/>
      <c r="F53" s="2212"/>
      <c r="G53" s="2212"/>
      <c r="H53" s="2212"/>
      <c r="I53" s="1642">
        <v>3</v>
      </c>
      <c r="J53" s="2275" t="s">
        <v>1759</v>
      </c>
      <c r="K53" s="2275"/>
      <c r="L53" s="2275"/>
      <c r="M53" s="2275"/>
      <c r="N53" s="2275"/>
      <c r="O53" s="2276"/>
    </row>
    <row r="54" spans="1:45" ht="34.5" customHeight="1" x14ac:dyDescent="0.25">
      <c r="A54" s="66">
        <v>1</v>
      </c>
      <c r="B54" s="2247" t="s">
        <v>1304</v>
      </c>
      <c r="C54" s="2247"/>
      <c r="D54" s="2247"/>
      <c r="E54" s="2247"/>
      <c r="F54" s="2247"/>
      <c r="G54" s="2247"/>
      <c r="H54" s="2247"/>
      <c r="I54" s="1458">
        <f>SUM(I55,I56,I57,I58)</f>
        <v>19202</v>
      </c>
      <c r="J54" s="1996" t="s">
        <v>1031</v>
      </c>
      <c r="K54" s="1996" t="s">
        <v>1032</v>
      </c>
      <c r="L54" s="1996" t="s">
        <v>1033</v>
      </c>
      <c r="M54" s="1996" t="s">
        <v>1034</v>
      </c>
      <c r="N54" s="1996" t="s">
        <v>1035</v>
      </c>
      <c r="O54" s="1997" t="s">
        <v>1036</v>
      </c>
    </row>
    <row r="55" spans="1:45" ht="27.75" customHeight="1" x14ac:dyDescent="0.25">
      <c r="A55" s="66">
        <v>2</v>
      </c>
      <c r="B55" s="2224" t="s">
        <v>10</v>
      </c>
      <c r="C55" s="2224"/>
      <c r="D55" s="2224"/>
      <c r="E55" s="2224"/>
      <c r="F55" s="2224"/>
      <c r="G55" s="2224"/>
      <c r="H55" s="2224"/>
      <c r="I55" s="57">
        <v>0</v>
      </c>
      <c r="J55" s="2235" t="s">
        <v>1760</v>
      </c>
      <c r="K55" s="2236" t="s">
        <v>1761</v>
      </c>
      <c r="L55" s="2236" t="s">
        <v>1762</v>
      </c>
      <c r="M55" s="2236" t="s">
        <v>1763</v>
      </c>
      <c r="N55" s="2236" t="s">
        <v>1764</v>
      </c>
      <c r="O55" s="2303" t="s">
        <v>811</v>
      </c>
    </row>
    <row r="56" spans="1:45" ht="31.5" customHeight="1" x14ac:dyDescent="0.25">
      <c r="A56" s="66">
        <v>3</v>
      </c>
      <c r="B56" s="2224" t="s">
        <v>11</v>
      </c>
      <c r="C56" s="2224"/>
      <c r="D56" s="2224"/>
      <c r="E56" s="2224"/>
      <c r="F56" s="2224"/>
      <c r="G56" s="2224"/>
      <c r="H56" s="2224"/>
      <c r="I56" s="57">
        <v>0</v>
      </c>
      <c r="J56" s="2235"/>
      <c r="K56" s="2236"/>
      <c r="L56" s="2236"/>
      <c r="M56" s="2236"/>
      <c r="N56" s="2236"/>
      <c r="O56" s="2303"/>
    </row>
    <row r="57" spans="1:45" ht="28.5" customHeight="1" x14ac:dyDescent="0.25">
      <c r="A57" s="1569">
        <v>4</v>
      </c>
      <c r="B57" s="2224" t="s">
        <v>12</v>
      </c>
      <c r="C57" s="2224"/>
      <c r="D57" s="2224"/>
      <c r="E57" s="2224"/>
      <c r="F57" s="2224"/>
      <c r="G57" s="2224"/>
      <c r="H57" s="2224"/>
      <c r="I57" s="949">
        <v>0</v>
      </c>
      <c r="J57" s="2235"/>
      <c r="K57" s="2236"/>
      <c r="L57" s="2236"/>
      <c r="M57" s="2236"/>
      <c r="N57" s="2236"/>
      <c r="O57" s="2303"/>
    </row>
    <row r="58" spans="1:45" ht="27.75" customHeight="1" thickBot="1" x14ac:dyDescent="0.3">
      <c r="A58" s="1570">
        <v>5</v>
      </c>
      <c r="B58" s="2233" t="s">
        <v>1758</v>
      </c>
      <c r="C58" s="2233"/>
      <c r="D58" s="2233"/>
      <c r="E58" s="2233"/>
      <c r="F58" s="2233"/>
      <c r="G58" s="2233"/>
      <c r="H58" s="2233"/>
      <c r="I58" s="1571">
        <f>SUM(J58:O58)</f>
        <v>19202</v>
      </c>
      <c r="J58" s="200">
        <v>0</v>
      </c>
      <c r="K58" s="1572">
        <v>0</v>
      </c>
      <c r="L58" s="1572">
        <v>0</v>
      </c>
      <c r="M58" s="1572">
        <v>0</v>
      </c>
      <c r="N58" s="1572">
        <v>0</v>
      </c>
      <c r="O58" s="1573">
        <v>19202</v>
      </c>
    </row>
    <row r="59" spans="1:45" ht="36" customHeight="1" x14ac:dyDescent="0.25">
      <c r="A59" s="2"/>
      <c r="M59" s="1482"/>
    </row>
    <row r="60" spans="1:45" ht="29.25" customHeight="1" x14ac:dyDescent="0.25">
      <c r="A60" s="2"/>
      <c r="B60" s="2226" t="s">
        <v>0</v>
      </c>
      <c r="C60" s="2226"/>
      <c r="D60" s="2238">
        <f>D1</f>
        <v>2006707</v>
      </c>
      <c r="E60" s="2238"/>
      <c r="F60" s="2225" t="s">
        <v>1</v>
      </c>
      <c r="G60" s="2225"/>
      <c r="H60" s="267"/>
      <c r="I60" s="2"/>
      <c r="J60" s="267"/>
      <c r="K60" s="267"/>
      <c r="L60" s="799"/>
      <c r="M60" s="799"/>
      <c r="N60" s="2268" t="s">
        <v>331</v>
      </c>
      <c r="O60" s="2268"/>
    </row>
    <row r="61" spans="1:45" ht="30.75" customHeight="1" x14ac:dyDescent="0.25">
      <c r="A61" s="2"/>
      <c r="I61" s="2"/>
      <c r="J61" s="2"/>
      <c r="K61" s="2"/>
      <c r="L61" s="2"/>
      <c r="M61" s="2"/>
      <c r="N61" s="2"/>
      <c r="O61" s="148" t="s">
        <v>298</v>
      </c>
    </row>
    <row r="62" spans="1:45" ht="32.65" customHeight="1" x14ac:dyDescent="0.25">
      <c r="A62" s="2239" t="str">
        <f>A3</f>
        <v>ЗВІТ ПРО ДОХОДИ ТА ВИТРАТИ за 1 квартал  2021 року</v>
      </c>
      <c r="B62" s="2239"/>
      <c r="C62" s="2239"/>
      <c r="D62" s="2239"/>
      <c r="E62" s="2239"/>
      <c r="F62" s="2239"/>
      <c r="G62" s="2239"/>
      <c r="H62" s="2239"/>
      <c r="I62" s="2239"/>
      <c r="J62" s="2239"/>
      <c r="K62" s="2239"/>
      <c r="L62" s="2239"/>
      <c r="M62" s="2239"/>
      <c r="N62" s="2239"/>
      <c r="O62" s="2239"/>
    </row>
    <row r="63" spans="1:45" ht="32.65" customHeight="1" thickBot="1" x14ac:dyDescent="0.3">
      <c r="A63" s="2237" t="s">
        <v>520</v>
      </c>
      <c r="B63" s="2237"/>
      <c r="C63" s="2237"/>
      <c r="D63" s="2237"/>
      <c r="E63" s="2237"/>
      <c r="F63" s="644"/>
      <c r="G63" s="644"/>
      <c r="H63" s="644"/>
      <c r="I63" s="644"/>
      <c r="J63" s="644"/>
      <c r="K63" s="644"/>
      <c r="L63" s="644"/>
      <c r="M63" s="644"/>
      <c r="N63" s="644"/>
      <c r="O63" s="155" t="s">
        <v>262</v>
      </c>
    </row>
    <row r="64" spans="1:45" ht="23.65" customHeight="1" x14ac:dyDescent="0.25">
      <c r="A64" s="2242" t="s">
        <v>6</v>
      </c>
      <c r="B64" s="2212" t="s">
        <v>7</v>
      </c>
      <c r="C64" s="2212"/>
      <c r="D64" s="2212"/>
      <c r="E64" s="2212"/>
      <c r="F64" s="2227" t="s">
        <v>87</v>
      </c>
      <c r="G64" s="2230" t="s">
        <v>8</v>
      </c>
      <c r="H64" s="2231"/>
      <c r="I64" s="2231"/>
      <c r="J64" s="2231"/>
      <c r="K64" s="2231"/>
      <c r="L64" s="2231"/>
      <c r="M64" s="2231"/>
      <c r="N64" s="2231"/>
      <c r="O64" s="2232"/>
    </row>
    <row r="65" spans="1:15" ht="29.65" customHeight="1" x14ac:dyDescent="0.25">
      <c r="A65" s="2243"/>
      <c r="B65" s="2214"/>
      <c r="C65" s="2214"/>
      <c r="D65" s="2214"/>
      <c r="E65" s="2214"/>
      <c r="F65" s="2228"/>
      <c r="G65" s="2219" t="s">
        <v>333</v>
      </c>
      <c r="H65" s="2186" t="s">
        <v>484</v>
      </c>
      <c r="I65" s="2186"/>
      <c r="J65" s="2186"/>
      <c r="K65" s="2186"/>
      <c r="L65" s="2186"/>
      <c r="M65" s="2186"/>
      <c r="N65" s="2186"/>
      <c r="O65" s="2221"/>
    </row>
    <row r="66" spans="1:15" ht="29.65" customHeight="1" x14ac:dyDescent="0.25">
      <c r="A66" s="2243"/>
      <c r="B66" s="2214"/>
      <c r="C66" s="2214"/>
      <c r="D66" s="2214"/>
      <c r="E66" s="2214"/>
      <c r="F66" s="2228"/>
      <c r="G66" s="2219"/>
      <c r="H66" s="2199" t="s">
        <v>429</v>
      </c>
      <c r="I66" s="2199" t="s">
        <v>523</v>
      </c>
      <c r="J66" s="2199"/>
      <c r="K66" s="2199"/>
      <c r="L66" s="2199"/>
      <c r="M66" s="2199"/>
      <c r="N66" s="2199"/>
      <c r="O66" s="2193" t="s">
        <v>483</v>
      </c>
    </row>
    <row r="67" spans="1:15" ht="48.6" customHeight="1" x14ac:dyDescent="0.25">
      <c r="A67" s="2243"/>
      <c r="B67" s="2214"/>
      <c r="C67" s="2214"/>
      <c r="D67" s="2214"/>
      <c r="E67" s="2214"/>
      <c r="F67" s="2228"/>
      <c r="G67" s="2219"/>
      <c r="H67" s="2199"/>
      <c r="I67" s="2186" t="s">
        <v>207</v>
      </c>
      <c r="J67" s="2186"/>
      <c r="K67" s="2186" t="s">
        <v>188</v>
      </c>
      <c r="L67" s="2186"/>
      <c r="M67" s="2186" t="s">
        <v>13</v>
      </c>
      <c r="N67" s="2186"/>
      <c r="O67" s="2193"/>
    </row>
    <row r="68" spans="1:15" ht="41.65" customHeight="1" thickBot="1" x14ac:dyDescent="0.3">
      <c r="A68" s="2244"/>
      <c r="B68" s="2216"/>
      <c r="C68" s="2216"/>
      <c r="D68" s="2216"/>
      <c r="E68" s="2216"/>
      <c r="F68" s="2229"/>
      <c r="G68" s="2220"/>
      <c r="H68" s="2218"/>
      <c r="I68" s="934" t="s">
        <v>81</v>
      </c>
      <c r="J68" s="934" t="s">
        <v>442</v>
      </c>
      <c r="K68" s="934" t="s">
        <v>81</v>
      </c>
      <c r="L68" s="934" t="s">
        <v>442</v>
      </c>
      <c r="M68" s="934" t="s">
        <v>81</v>
      </c>
      <c r="N68" s="934" t="s">
        <v>442</v>
      </c>
      <c r="O68" s="2194"/>
    </row>
    <row r="69" spans="1:15" ht="24" customHeight="1" thickBot="1" x14ac:dyDescent="0.3">
      <c r="A69" s="782" t="s">
        <v>9</v>
      </c>
      <c r="B69" s="2207">
        <v>2</v>
      </c>
      <c r="C69" s="2207"/>
      <c r="D69" s="2207"/>
      <c r="E69" s="2207"/>
      <c r="F69" s="933">
        <v>3</v>
      </c>
      <c r="G69" s="330">
        <v>4</v>
      </c>
      <c r="H69" s="936">
        <v>5</v>
      </c>
      <c r="I69" s="936">
        <v>6</v>
      </c>
      <c r="J69" s="936">
        <v>7</v>
      </c>
      <c r="K69" s="936">
        <v>8</v>
      </c>
      <c r="L69" s="936">
        <v>9</v>
      </c>
      <c r="M69" s="936">
        <v>10</v>
      </c>
      <c r="N69" s="936">
        <v>11</v>
      </c>
      <c r="O69" s="349">
        <v>12</v>
      </c>
    </row>
    <row r="70" spans="1:15" ht="30.75" customHeight="1" x14ac:dyDescent="0.25">
      <c r="A70" s="955">
        <v>3</v>
      </c>
      <c r="B70" s="2195" t="s">
        <v>1305</v>
      </c>
      <c r="C70" s="2195"/>
      <c r="D70" s="2195"/>
      <c r="E70" s="2195"/>
      <c r="F70" s="958">
        <f>SUM(F71+F75+F79+F80)</f>
        <v>0</v>
      </c>
      <c r="G70" s="961">
        <f>H70+I70+J70+K70+L70+O70+M70+N70</f>
        <v>27308</v>
      </c>
      <c r="H70" s="956">
        <f>SUM(H71+H75+H79+H80)</f>
        <v>27308</v>
      </c>
      <c r="I70" s="956">
        <f t="shared" ref="I70:O70" si="2">SUM(I71+I75+I79+I80)</f>
        <v>0</v>
      </c>
      <c r="J70" s="956">
        <f t="shared" si="2"/>
        <v>0</v>
      </c>
      <c r="K70" s="956">
        <f t="shared" si="2"/>
        <v>0</v>
      </c>
      <c r="L70" s="956">
        <f t="shared" si="2"/>
        <v>0</v>
      </c>
      <c r="M70" s="956">
        <f t="shared" si="2"/>
        <v>0</v>
      </c>
      <c r="N70" s="956">
        <f t="shared" si="2"/>
        <v>0</v>
      </c>
      <c r="O70" s="957">
        <f t="shared" si="2"/>
        <v>0</v>
      </c>
    </row>
    <row r="71" spans="1:15" ht="29.25" customHeight="1" x14ac:dyDescent="0.25">
      <c r="A71" s="800" t="s">
        <v>69</v>
      </c>
      <c r="B71" s="2240" t="s">
        <v>1306</v>
      </c>
      <c r="C71" s="2240"/>
      <c r="D71" s="2240"/>
      <c r="E71" s="2240"/>
      <c r="F71" s="959">
        <f>SUM(F72:F74)</f>
        <v>0</v>
      </c>
      <c r="G71" s="962">
        <f t="shared" ref="G71:G82" si="3">H71+I71+J71+K71+L71+O71+M71+N71</f>
        <v>0</v>
      </c>
      <c r="H71" s="1016">
        <f>SUM(H72:H74)</f>
        <v>0</v>
      </c>
      <c r="I71" s="1016">
        <f t="shared" ref="I71:O71" si="4">SUM(I72:I74)</f>
        <v>0</v>
      </c>
      <c r="J71" s="1016">
        <f t="shared" si="4"/>
        <v>0</v>
      </c>
      <c r="K71" s="1016">
        <f t="shared" si="4"/>
        <v>0</v>
      </c>
      <c r="L71" s="1016">
        <f t="shared" si="4"/>
        <v>0</v>
      </c>
      <c r="M71" s="1016">
        <f>SUM(M72:M74)</f>
        <v>0</v>
      </c>
      <c r="N71" s="1016">
        <f>SUM(N72:N74)</f>
        <v>0</v>
      </c>
      <c r="O71" s="1017">
        <f t="shared" si="4"/>
        <v>0</v>
      </c>
    </row>
    <row r="72" spans="1:15" ht="27.75" customHeight="1" x14ac:dyDescent="0.25">
      <c r="A72" s="801" t="s">
        <v>73</v>
      </c>
      <c r="B72" s="2234" t="s">
        <v>284</v>
      </c>
      <c r="C72" s="2234"/>
      <c r="D72" s="2234"/>
      <c r="E72" s="2234"/>
      <c r="F72" s="991">
        <v>0</v>
      </c>
      <c r="G72" s="962">
        <f t="shared" si="3"/>
        <v>0</v>
      </c>
      <c r="H72" s="387">
        <v>0</v>
      </c>
      <c r="I72" s="387">
        <v>0</v>
      </c>
      <c r="J72" s="387">
        <v>0</v>
      </c>
      <c r="K72" s="387">
        <v>0</v>
      </c>
      <c r="L72" s="387">
        <v>0</v>
      </c>
      <c r="M72" s="387">
        <v>0</v>
      </c>
      <c r="N72" s="387">
        <v>0</v>
      </c>
      <c r="O72" s="418">
        <v>0</v>
      </c>
    </row>
    <row r="73" spans="1:15" ht="27.75" customHeight="1" x14ac:dyDescent="0.25">
      <c r="A73" s="28" t="s">
        <v>74</v>
      </c>
      <c r="B73" s="2234" t="s">
        <v>199</v>
      </c>
      <c r="C73" s="2234"/>
      <c r="D73" s="2234"/>
      <c r="E73" s="2234"/>
      <c r="F73" s="991">
        <v>0</v>
      </c>
      <c r="G73" s="962">
        <f t="shared" si="3"/>
        <v>0</v>
      </c>
      <c r="H73" s="387">
        <v>0</v>
      </c>
      <c r="I73" s="387">
        <v>0</v>
      </c>
      <c r="J73" s="387">
        <v>0</v>
      </c>
      <c r="K73" s="387">
        <v>0</v>
      </c>
      <c r="L73" s="387">
        <v>0</v>
      </c>
      <c r="M73" s="387">
        <v>0</v>
      </c>
      <c r="N73" s="387">
        <v>0</v>
      </c>
      <c r="O73" s="418">
        <v>0</v>
      </c>
    </row>
    <row r="74" spans="1:15" ht="20.25" x14ac:dyDescent="0.25">
      <c r="A74" s="801" t="s">
        <v>75</v>
      </c>
      <c r="B74" s="2234" t="s">
        <v>200</v>
      </c>
      <c r="C74" s="2234"/>
      <c r="D74" s="2234"/>
      <c r="E74" s="2234"/>
      <c r="F74" s="991">
        <v>0</v>
      </c>
      <c r="G74" s="962">
        <f t="shared" si="3"/>
        <v>0</v>
      </c>
      <c r="H74" s="387">
        <v>0</v>
      </c>
      <c r="I74" s="387">
        <v>0</v>
      </c>
      <c r="J74" s="387">
        <v>0</v>
      </c>
      <c r="K74" s="387">
        <v>0</v>
      </c>
      <c r="L74" s="387">
        <v>0</v>
      </c>
      <c r="M74" s="387">
        <v>0</v>
      </c>
      <c r="N74" s="387">
        <v>0</v>
      </c>
      <c r="O74" s="418">
        <v>0</v>
      </c>
    </row>
    <row r="75" spans="1:15" ht="31.5" customHeight="1" x14ac:dyDescent="0.25">
      <c r="A75" s="800" t="s">
        <v>70</v>
      </c>
      <c r="B75" s="2240" t="s">
        <v>1307</v>
      </c>
      <c r="C75" s="2240"/>
      <c r="D75" s="2240"/>
      <c r="E75" s="2240"/>
      <c r="F75" s="959">
        <f>SUM(F76:F78)</f>
        <v>0</v>
      </c>
      <c r="G75" s="962">
        <f t="shared" si="3"/>
        <v>27308</v>
      </c>
      <c r="H75" s="1016">
        <f>SUM(H76:H78)</f>
        <v>27308</v>
      </c>
      <c r="I75" s="1016">
        <f t="shared" ref="I75:O75" si="5">SUM(I76:I78)</f>
        <v>0</v>
      </c>
      <c r="J75" s="1016">
        <f t="shared" si="5"/>
        <v>0</v>
      </c>
      <c r="K75" s="1016">
        <f t="shared" si="5"/>
        <v>0</v>
      </c>
      <c r="L75" s="1016">
        <f t="shared" si="5"/>
        <v>0</v>
      </c>
      <c r="M75" s="1016">
        <f>SUM(M76:M78)</f>
        <v>0</v>
      </c>
      <c r="N75" s="1016">
        <f>SUM(N76:N78)</f>
        <v>0</v>
      </c>
      <c r="O75" s="1017">
        <f t="shared" si="5"/>
        <v>0</v>
      </c>
    </row>
    <row r="76" spans="1:15" ht="31.5" customHeight="1" x14ac:dyDescent="0.25">
      <c r="A76" s="28" t="s">
        <v>76</v>
      </c>
      <c r="B76" s="2234" t="s">
        <v>201</v>
      </c>
      <c r="C76" s="2234"/>
      <c r="D76" s="2234"/>
      <c r="E76" s="2234"/>
      <c r="F76" s="991">
        <v>0</v>
      </c>
      <c r="G76" s="962">
        <f>H76+I76+J76+K76+L76+O76+M76+N76</f>
        <v>27308</v>
      </c>
      <c r="H76" s="387">
        <v>27308</v>
      </c>
      <c r="I76" s="387">
        <v>0</v>
      </c>
      <c r="J76" s="387">
        <v>0</v>
      </c>
      <c r="K76" s="387">
        <v>0</v>
      </c>
      <c r="L76" s="387">
        <v>0</v>
      </c>
      <c r="M76" s="387">
        <v>0</v>
      </c>
      <c r="N76" s="387">
        <v>0</v>
      </c>
      <c r="O76" s="418">
        <v>0</v>
      </c>
    </row>
    <row r="77" spans="1:15" ht="33" customHeight="1" x14ac:dyDescent="0.25">
      <c r="A77" s="28" t="s">
        <v>77</v>
      </c>
      <c r="B77" s="2234" t="s">
        <v>202</v>
      </c>
      <c r="C77" s="2234"/>
      <c r="D77" s="2234"/>
      <c r="E77" s="2234"/>
      <c r="F77" s="991">
        <v>0</v>
      </c>
      <c r="G77" s="962">
        <f t="shared" si="3"/>
        <v>0</v>
      </c>
      <c r="H77" s="387">
        <v>0</v>
      </c>
      <c r="I77" s="387">
        <v>0</v>
      </c>
      <c r="J77" s="387">
        <v>0</v>
      </c>
      <c r="K77" s="387">
        <v>0</v>
      </c>
      <c r="L77" s="387">
        <v>0</v>
      </c>
      <c r="M77" s="387">
        <v>0</v>
      </c>
      <c r="N77" s="387">
        <v>0</v>
      </c>
      <c r="O77" s="418">
        <v>0</v>
      </c>
    </row>
    <row r="78" spans="1:15" ht="30" customHeight="1" x14ac:dyDescent="0.25">
      <c r="A78" s="28" t="s">
        <v>78</v>
      </c>
      <c r="B78" s="2234" t="s">
        <v>203</v>
      </c>
      <c r="C78" s="2234"/>
      <c r="D78" s="2234"/>
      <c r="E78" s="2234"/>
      <c r="F78" s="991">
        <v>0</v>
      </c>
      <c r="G78" s="962">
        <f t="shared" si="3"/>
        <v>0</v>
      </c>
      <c r="H78" s="387">
        <v>0</v>
      </c>
      <c r="I78" s="387">
        <v>0</v>
      </c>
      <c r="J78" s="387">
        <v>0</v>
      </c>
      <c r="K78" s="387">
        <v>0</v>
      </c>
      <c r="L78" s="387">
        <v>0</v>
      </c>
      <c r="M78" s="387">
        <v>0</v>
      </c>
      <c r="N78" s="387">
        <v>0</v>
      </c>
      <c r="O78" s="418">
        <v>0</v>
      </c>
    </row>
    <row r="79" spans="1:15" ht="53.65" customHeight="1" x14ac:dyDescent="0.25">
      <c r="A79" s="800" t="s">
        <v>71</v>
      </c>
      <c r="B79" s="2240" t="s">
        <v>204</v>
      </c>
      <c r="C79" s="2240"/>
      <c r="D79" s="2240"/>
      <c r="E79" s="2240"/>
      <c r="F79" s="991">
        <v>0</v>
      </c>
      <c r="G79" s="962">
        <f t="shared" si="3"/>
        <v>0</v>
      </c>
      <c r="H79" s="478">
        <v>0</v>
      </c>
      <c r="I79" s="478">
        <v>0</v>
      </c>
      <c r="J79" s="478">
        <v>0</v>
      </c>
      <c r="K79" s="478">
        <v>0</v>
      </c>
      <c r="L79" s="478">
        <v>0</v>
      </c>
      <c r="M79" s="478">
        <v>0</v>
      </c>
      <c r="N79" s="478">
        <v>0</v>
      </c>
      <c r="O79" s="1018">
        <v>0</v>
      </c>
    </row>
    <row r="80" spans="1:15" ht="27.75" customHeight="1" x14ac:dyDescent="0.25">
      <c r="A80" s="800" t="s">
        <v>72</v>
      </c>
      <c r="B80" s="2240" t="s">
        <v>1308</v>
      </c>
      <c r="C80" s="2240"/>
      <c r="D80" s="2240"/>
      <c r="E80" s="2240"/>
      <c r="F80" s="959">
        <f>SUM(F81:F82)</f>
        <v>0</v>
      </c>
      <c r="G80" s="962">
        <f t="shared" si="3"/>
        <v>0</v>
      </c>
      <c r="H80" s="1016">
        <f>SUM(H81:H82)</f>
        <v>0</v>
      </c>
      <c r="I80" s="1016">
        <f t="shared" ref="I80:O80" si="6">SUM(I81:I82)</f>
        <v>0</v>
      </c>
      <c r="J80" s="1016">
        <f t="shared" si="6"/>
        <v>0</v>
      </c>
      <c r="K80" s="1016">
        <f t="shared" si="6"/>
        <v>0</v>
      </c>
      <c r="L80" s="1016">
        <f t="shared" si="6"/>
        <v>0</v>
      </c>
      <c r="M80" s="1016">
        <f>SUM(M81:M82)</f>
        <v>0</v>
      </c>
      <c r="N80" s="1016">
        <f>SUM(N81:N82)</f>
        <v>0</v>
      </c>
      <c r="O80" s="1017">
        <f t="shared" si="6"/>
        <v>0</v>
      </c>
    </row>
    <row r="81" spans="1:19" ht="30" customHeight="1" x14ac:dyDescent="0.25">
      <c r="A81" s="28" t="s">
        <v>79</v>
      </c>
      <c r="B81" s="2234" t="s">
        <v>205</v>
      </c>
      <c r="C81" s="2234"/>
      <c r="D81" s="2234"/>
      <c r="E81" s="2234"/>
      <c r="F81" s="991">
        <v>0</v>
      </c>
      <c r="G81" s="962">
        <f t="shared" si="3"/>
        <v>0</v>
      </c>
      <c r="H81" s="387">
        <v>0</v>
      </c>
      <c r="I81" s="387">
        <v>0</v>
      </c>
      <c r="J81" s="387">
        <v>0</v>
      </c>
      <c r="K81" s="387">
        <v>0</v>
      </c>
      <c r="L81" s="387">
        <v>0</v>
      </c>
      <c r="M81" s="387">
        <v>0</v>
      </c>
      <c r="N81" s="387">
        <v>0</v>
      </c>
      <c r="O81" s="418">
        <v>0</v>
      </c>
    </row>
    <row r="82" spans="1:19" ht="24.75" customHeight="1" thickBot="1" x14ac:dyDescent="0.3">
      <c r="A82" s="802" t="s">
        <v>80</v>
      </c>
      <c r="B82" s="2241" t="s">
        <v>206</v>
      </c>
      <c r="C82" s="2241"/>
      <c r="D82" s="2241"/>
      <c r="E82" s="2241"/>
      <c r="F82" s="960">
        <v>0</v>
      </c>
      <c r="G82" s="963">
        <f t="shared" si="3"/>
        <v>0</v>
      </c>
      <c r="H82" s="929">
        <v>0</v>
      </c>
      <c r="I82" s="929">
        <v>0</v>
      </c>
      <c r="J82" s="929">
        <v>0</v>
      </c>
      <c r="K82" s="929">
        <v>0</v>
      </c>
      <c r="L82" s="929">
        <v>0</v>
      </c>
      <c r="M82" s="929">
        <v>0</v>
      </c>
      <c r="N82" s="929">
        <v>0</v>
      </c>
      <c r="O82" s="930">
        <v>0</v>
      </c>
    </row>
    <row r="83" spans="1:19" s="109" customFormat="1" x14ac:dyDescent="0.25">
      <c r="B83" s="117"/>
      <c r="D83" s="118"/>
      <c r="E83" s="118"/>
      <c r="F83" s="118"/>
      <c r="G83" s="119"/>
      <c r="H83" s="119"/>
      <c r="I83" s="119"/>
      <c r="J83" s="119"/>
      <c r="K83" s="120"/>
      <c r="L83" s="121"/>
      <c r="M83" s="121"/>
      <c r="N83" s="121"/>
      <c r="P83" s="110"/>
      <c r="Q83" s="110"/>
      <c r="R83" s="110"/>
      <c r="S83" s="110"/>
    </row>
    <row r="84" spans="1:19" s="109" customFormat="1" x14ac:dyDescent="0.25">
      <c r="P84" s="110"/>
      <c r="Q84" s="110"/>
      <c r="R84" s="110"/>
      <c r="S84" s="110"/>
    </row>
    <row r="85" spans="1:19" s="109" customFormat="1" x14ac:dyDescent="0.25">
      <c r="P85" s="110"/>
      <c r="Q85" s="110"/>
      <c r="R85" s="110"/>
      <c r="S85" s="110"/>
    </row>
    <row r="86" spans="1:19" s="109" customFormat="1" x14ac:dyDescent="0.25">
      <c r="A86" s="2277"/>
      <c r="B86" s="2277"/>
      <c r="C86" s="2277"/>
      <c r="D86" s="2277"/>
      <c r="E86" s="2277"/>
      <c r="F86" s="2277"/>
      <c r="G86" s="2277"/>
      <c r="H86" s="2277"/>
      <c r="I86" s="2277"/>
      <c r="J86" s="2277"/>
      <c r="K86" s="2277"/>
      <c r="L86" s="2277"/>
      <c r="M86" s="2277"/>
      <c r="N86" s="2277"/>
      <c r="O86" s="2277"/>
      <c r="P86" s="110"/>
      <c r="Q86" s="110"/>
      <c r="R86" s="110"/>
      <c r="S86" s="110"/>
    </row>
    <row r="87" spans="1:19" s="109" customFormat="1" x14ac:dyDescent="0.25">
      <c r="A87" s="2277"/>
      <c r="B87" s="2277"/>
      <c r="C87" s="2277"/>
      <c r="D87" s="2277"/>
      <c r="E87" s="2277"/>
      <c r="F87" s="2277"/>
      <c r="G87" s="2277"/>
      <c r="H87" s="2277"/>
      <c r="I87" s="2277"/>
      <c r="J87" s="2277"/>
      <c r="K87" s="2277"/>
      <c r="L87" s="2277"/>
      <c r="M87" s="2277"/>
      <c r="N87" s="2277"/>
      <c r="O87" s="2277"/>
      <c r="P87" s="110"/>
      <c r="Q87" s="110"/>
      <c r="R87" s="110"/>
      <c r="S87" s="110"/>
    </row>
    <row r="88" spans="1:19" s="109" customFormat="1" x14ac:dyDescent="0.25">
      <c r="A88" s="2277"/>
      <c r="B88" s="2277"/>
      <c r="C88" s="2277"/>
      <c r="D88" s="2277"/>
      <c r="E88" s="2277"/>
      <c r="F88" s="2277"/>
      <c r="G88" s="2277"/>
      <c r="H88" s="2277"/>
      <c r="I88" s="2277"/>
      <c r="J88" s="2277"/>
      <c r="K88" s="2277"/>
      <c r="L88" s="2277"/>
      <c r="M88" s="2277"/>
      <c r="N88" s="2277"/>
      <c r="O88" s="2277"/>
      <c r="P88" s="110"/>
      <c r="Q88" s="110"/>
      <c r="R88" s="110"/>
      <c r="S88" s="110"/>
    </row>
    <row r="89" spans="1:19" s="109" customFormat="1" x14ac:dyDescent="0.25">
      <c r="A89" s="2277"/>
      <c r="B89" s="2277"/>
      <c r="C89" s="2277"/>
      <c r="D89" s="2277"/>
      <c r="E89" s="2277"/>
      <c r="F89" s="2277"/>
      <c r="G89" s="2277"/>
      <c r="H89" s="2277"/>
      <c r="I89" s="2277"/>
      <c r="J89" s="2277"/>
      <c r="K89" s="2277"/>
      <c r="L89" s="2277"/>
      <c r="M89" s="2277"/>
      <c r="N89" s="2277"/>
      <c r="O89" s="2277"/>
      <c r="P89" s="110"/>
      <c r="Q89" s="110"/>
      <c r="R89" s="110"/>
      <c r="S89" s="110"/>
    </row>
    <row r="90" spans="1:19" s="109" customFormat="1" x14ac:dyDescent="0.25">
      <c r="A90" s="2277"/>
      <c r="B90" s="2277"/>
      <c r="C90" s="2277"/>
      <c r="D90" s="2277"/>
      <c r="E90" s="2277"/>
      <c r="F90" s="2277"/>
      <c r="G90" s="2277"/>
      <c r="H90" s="2277"/>
      <c r="I90" s="2277"/>
      <c r="J90" s="2277"/>
      <c r="K90" s="2277"/>
      <c r="L90" s="2277"/>
      <c r="M90" s="2277"/>
      <c r="N90" s="2277"/>
      <c r="O90" s="2277"/>
      <c r="P90" s="110"/>
      <c r="Q90" s="110"/>
      <c r="R90" s="110"/>
      <c r="S90" s="110"/>
    </row>
    <row r="91" spans="1:19" s="109" customFormat="1" x14ac:dyDescent="0.25">
      <c r="A91" s="2277"/>
      <c r="B91" s="2277"/>
      <c r="C91" s="2277"/>
      <c r="D91" s="2277"/>
      <c r="E91" s="2277"/>
      <c r="F91" s="2277"/>
      <c r="G91" s="2277"/>
      <c r="H91" s="2277"/>
      <c r="I91" s="2277"/>
      <c r="J91" s="2277"/>
      <c r="K91" s="2277"/>
      <c r="L91" s="2277"/>
      <c r="M91" s="2277"/>
      <c r="N91" s="2277"/>
      <c r="O91" s="2277"/>
      <c r="P91" s="110"/>
      <c r="Q91" s="110"/>
      <c r="R91" s="110"/>
      <c r="S91" s="110"/>
    </row>
    <row r="92" spans="1:19" s="109" customFormat="1" x14ac:dyDescent="0.25">
      <c r="A92" s="2277"/>
      <c r="B92" s="2277"/>
      <c r="C92" s="2277"/>
      <c r="D92" s="2277"/>
      <c r="E92" s="2277"/>
      <c r="F92" s="2277"/>
      <c r="G92" s="2277"/>
      <c r="H92" s="2277"/>
      <c r="I92" s="2277"/>
      <c r="J92" s="2277"/>
      <c r="K92" s="2277"/>
      <c r="L92" s="2277"/>
      <c r="M92" s="2277"/>
      <c r="N92" s="2277"/>
      <c r="O92" s="2277"/>
      <c r="P92" s="110"/>
      <c r="Q92" s="110"/>
      <c r="R92" s="110"/>
      <c r="S92" s="110"/>
    </row>
    <row r="93" spans="1:19" s="109" customFormat="1" x14ac:dyDescent="0.25">
      <c r="A93" s="2277"/>
      <c r="B93" s="2277"/>
      <c r="C93" s="2277"/>
      <c r="D93" s="2277"/>
      <c r="E93" s="2277"/>
      <c r="F93" s="2277"/>
      <c r="G93" s="2277"/>
      <c r="H93" s="2277"/>
      <c r="I93" s="2277"/>
      <c r="J93" s="2277"/>
      <c r="K93" s="2277"/>
      <c r="L93" s="2277"/>
      <c r="M93" s="2277"/>
      <c r="N93" s="2277"/>
      <c r="O93" s="2277"/>
      <c r="P93" s="110"/>
      <c r="Q93" s="110"/>
      <c r="R93" s="110"/>
      <c r="S93" s="110"/>
    </row>
    <row r="94" spans="1:19" s="109" customFormat="1" x14ac:dyDescent="0.25">
      <c r="A94" s="2277"/>
      <c r="B94" s="2277"/>
      <c r="C94" s="2277"/>
      <c r="D94" s="2277"/>
      <c r="E94" s="2277"/>
      <c r="F94" s="2277"/>
      <c r="G94" s="2277"/>
      <c r="H94" s="2277"/>
      <c r="I94" s="2277"/>
      <c r="J94" s="2277"/>
      <c r="K94" s="2277"/>
      <c r="L94" s="2277"/>
      <c r="M94" s="2277"/>
      <c r="N94" s="2277"/>
      <c r="O94" s="2277"/>
      <c r="P94" s="110"/>
      <c r="Q94" s="110"/>
      <c r="R94" s="110"/>
      <c r="S94" s="110"/>
    </row>
    <row r="95" spans="1:19" s="109" customFormat="1" x14ac:dyDescent="0.25">
      <c r="A95" s="2277"/>
      <c r="B95" s="2277"/>
      <c r="C95" s="2277"/>
      <c r="D95" s="2277"/>
      <c r="E95" s="2277"/>
      <c r="F95" s="2277"/>
      <c r="G95" s="2277"/>
      <c r="H95" s="2277"/>
      <c r="I95" s="2277"/>
      <c r="J95" s="2277"/>
      <c r="K95" s="2277"/>
      <c r="L95" s="2277"/>
      <c r="M95" s="2277"/>
      <c r="N95" s="2277"/>
      <c r="O95" s="2277"/>
      <c r="P95" s="110"/>
      <c r="Q95" s="110"/>
      <c r="R95" s="110"/>
      <c r="S95" s="110"/>
    </row>
    <row r="96" spans="1:19" s="109" customFormat="1" x14ac:dyDescent="0.25">
      <c r="A96" s="2277"/>
      <c r="B96" s="2277"/>
      <c r="C96" s="2277"/>
      <c r="D96" s="2277"/>
      <c r="E96" s="2277"/>
      <c r="F96" s="2277"/>
      <c r="G96" s="2277"/>
      <c r="H96" s="2277"/>
      <c r="I96" s="2277"/>
      <c r="J96" s="2277"/>
      <c r="K96" s="2277"/>
      <c r="L96" s="2277"/>
      <c r="M96" s="2277"/>
      <c r="N96" s="2277"/>
      <c r="O96" s="2277"/>
      <c r="P96" s="110"/>
      <c r="Q96" s="110"/>
      <c r="R96" s="110"/>
      <c r="S96" s="110"/>
    </row>
    <row r="97" spans="1:19" s="109" customFormat="1" x14ac:dyDescent="0.25">
      <c r="A97" s="2277"/>
      <c r="B97" s="2277"/>
      <c r="C97" s="2277"/>
      <c r="D97" s="2277"/>
      <c r="E97" s="2277"/>
      <c r="F97" s="2277"/>
      <c r="G97" s="2277"/>
      <c r="H97" s="2277"/>
      <c r="I97" s="2277"/>
      <c r="J97" s="2277"/>
      <c r="K97" s="2277"/>
      <c r="L97" s="2277"/>
      <c r="M97" s="2277"/>
      <c r="N97" s="2277"/>
      <c r="O97" s="2277"/>
      <c r="P97" s="110"/>
      <c r="Q97" s="110"/>
      <c r="R97" s="110"/>
      <c r="S97" s="110"/>
    </row>
    <row r="98" spans="1:19" s="109" customFormat="1" x14ac:dyDescent="0.25">
      <c r="A98" s="2277"/>
      <c r="B98" s="2277"/>
      <c r="C98" s="2277"/>
      <c r="D98" s="2277"/>
      <c r="E98" s="2277"/>
      <c r="F98" s="2277"/>
      <c r="G98" s="2277"/>
      <c r="H98" s="2277"/>
      <c r="I98" s="2277"/>
      <c r="J98" s="2277"/>
      <c r="K98" s="2277"/>
      <c r="L98" s="2277"/>
      <c r="M98" s="2277"/>
      <c r="N98" s="2277"/>
      <c r="O98" s="2277"/>
      <c r="P98" s="110"/>
      <c r="Q98" s="110"/>
      <c r="R98" s="110"/>
      <c r="S98" s="110"/>
    </row>
    <row r="99" spans="1:19" s="109" customFormat="1" x14ac:dyDescent="0.25">
      <c r="A99" s="2277"/>
      <c r="B99" s="2277"/>
      <c r="C99" s="2277"/>
      <c r="D99" s="2277"/>
      <c r="E99" s="2277"/>
      <c r="F99" s="2277"/>
      <c r="G99" s="2277"/>
      <c r="H99" s="2277"/>
      <c r="I99" s="2277"/>
      <c r="J99" s="2277"/>
      <c r="K99" s="2277"/>
      <c r="L99" s="2277"/>
      <c r="M99" s="2277"/>
      <c r="N99" s="2277"/>
      <c r="O99" s="2277"/>
      <c r="P99" s="110"/>
      <c r="Q99" s="110"/>
      <c r="R99" s="110"/>
      <c r="S99" s="110"/>
    </row>
    <row r="100" spans="1:19" s="109" customFormat="1" x14ac:dyDescent="0.25">
      <c r="B100" s="117"/>
      <c r="D100" s="118"/>
      <c r="E100" s="118"/>
      <c r="F100" s="118"/>
      <c r="G100" s="119"/>
      <c r="H100" s="119"/>
      <c r="I100" s="119"/>
      <c r="J100" s="119"/>
      <c r="K100" s="120"/>
      <c r="L100" s="121"/>
      <c r="M100" s="121"/>
      <c r="N100" s="121"/>
      <c r="P100" s="110"/>
      <c r="Q100" s="110"/>
      <c r="R100" s="110"/>
      <c r="S100" s="110"/>
    </row>
    <row r="101" spans="1:19" s="109" customFormat="1" x14ac:dyDescent="0.25">
      <c r="B101" s="117"/>
      <c r="D101" s="118"/>
      <c r="E101" s="118"/>
      <c r="F101" s="118"/>
      <c r="G101" s="119"/>
      <c r="H101" s="119"/>
      <c r="I101" s="119"/>
      <c r="J101" s="119"/>
      <c r="K101" s="120"/>
      <c r="L101" s="121"/>
      <c r="M101" s="121"/>
      <c r="N101" s="121"/>
      <c r="P101" s="110"/>
      <c r="Q101" s="110"/>
      <c r="R101" s="110"/>
      <c r="S101" s="110"/>
    </row>
    <row r="102" spans="1:19" s="109" customFormat="1" x14ac:dyDescent="0.25">
      <c r="B102" s="117"/>
      <c r="D102" s="118"/>
      <c r="E102" s="118"/>
      <c r="F102" s="118"/>
      <c r="G102" s="119"/>
      <c r="H102" s="119"/>
      <c r="I102" s="119"/>
      <c r="J102" s="119"/>
      <c r="K102" s="120"/>
      <c r="L102" s="121"/>
      <c r="M102" s="121"/>
      <c r="N102" s="121"/>
      <c r="P102" s="110"/>
      <c r="Q102" s="110"/>
      <c r="R102" s="110"/>
      <c r="S102" s="110"/>
    </row>
    <row r="103" spans="1:19" s="109" customFormat="1" x14ac:dyDescent="0.25">
      <c r="B103" s="117"/>
      <c r="D103" s="118"/>
      <c r="E103" s="118"/>
      <c r="F103" s="118"/>
      <c r="G103" s="119"/>
      <c r="H103" s="119"/>
      <c r="I103" s="119"/>
      <c r="J103" s="119"/>
      <c r="K103" s="120"/>
      <c r="L103" s="121"/>
      <c r="M103" s="121"/>
      <c r="N103" s="121"/>
      <c r="P103" s="110"/>
      <c r="Q103" s="110"/>
      <c r="R103" s="110"/>
      <c r="S103" s="110"/>
    </row>
    <row r="104" spans="1:19" s="109" customFormat="1" x14ac:dyDescent="0.25">
      <c r="A104" s="116"/>
      <c r="B104" s="117"/>
      <c r="D104" s="118"/>
      <c r="E104" s="118"/>
      <c r="F104" s="118"/>
      <c r="G104" s="119"/>
      <c r="H104" s="119"/>
      <c r="I104" s="119"/>
      <c r="J104" s="119"/>
      <c r="K104" s="120"/>
      <c r="L104" s="121"/>
      <c r="M104" s="121"/>
      <c r="N104" s="121"/>
      <c r="P104" s="110"/>
      <c r="Q104" s="110"/>
      <c r="R104" s="110"/>
      <c r="S104" s="110"/>
    </row>
    <row r="105" spans="1:19" s="109" customFormat="1" x14ac:dyDescent="0.25">
      <c r="A105" s="116"/>
      <c r="B105" s="117"/>
      <c r="D105" s="118"/>
      <c r="E105" s="118"/>
      <c r="F105" s="118"/>
      <c r="G105" s="119"/>
      <c r="H105" s="119"/>
      <c r="I105" s="119"/>
      <c r="J105" s="119"/>
      <c r="K105" s="120"/>
      <c r="L105" s="121"/>
      <c r="M105" s="121"/>
      <c r="N105" s="121"/>
      <c r="P105" s="110"/>
      <c r="Q105" s="110"/>
      <c r="R105" s="110"/>
      <c r="S105" s="110"/>
    </row>
    <row r="106" spans="1:19" s="109" customFormat="1" x14ac:dyDescent="0.25">
      <c r="A106" s="116"/>
      <c r="B106" s="117"/>
      <c r="D106" s="118"/>
      <c r="E106" s="118"/>
      <c r="F106" s="118"/>
      <c r="G106" s="119"/>
      <c r="H106" s="119"/>
      <c r="I106" s="119"/>
      <c r="J106" s="119"/>
      <c r="K106" s="120"/>
      <c r="L106" s="121"/>
      <c r="M106" s="121"/>
      <c r="N106" s="121"/>
      <c r="P106" s="110"/>
      <c r="Q106" s="110"/>
      <c r="R106" s="110"/>
      <c r="S106" s="110"/>
    </row>
    <row r="107" spans="1:19" s="109" customFormat="1" x14ac:dyDescent="0.25">
      <c r="A107" s="116"/>
      <c r="B107" s="117"/>
      <c r="D107" s="118"/>
      <c r="E107" s="118"/>
      <c r="F107" s="118"/>
      <c r="G107" s="119"/>
      <c r="H107" s="119"/>
      <c r="I107" s="119"/>
      <c r="J107" s="119"/>
      <c r="K107" s="120"/>
      <c r="L107" s="121"/>
      <c r="M107" s="121"/>
      <c r="N107" s="121"/>
      <c r="P107" s="110"/>
      <c r="Q107" s="110"/>
      <c r="R107" s="110"/>
      <c r="S107" s="110"/>
    </row>
    <row r="108" spans="1:19" s="109" customFormat="1" x14ac:dyDescent="0.25">
      <c r="A108" s="116"/>
      <c r="B108" s="117"/>
      <c r="D108" s="118"/>
      <c r="E108" s="118"/>
      <c r="F108" s="118"/>
      <c r="G108" s="119"/>
      <c r="H108" s="119"/>
      <c r="I108" s="119"/>
      <c r="J108" s="119"/>
      <c r="K108" s="120"/>
      <c r="L108" s="121"/>
      <c r="M108" s="121"/>
      <c r="N108" s="121"/>
      <c r="P108" s="110"/>
      <c r="Q108" s="110"/>
      <c r="R108" s="110"/>
      <c r="S108" s="110"/>
    </row>
    <row r="109" spans="1:19" s="109" customFormat="1" x14ac:dyDescent="0.25">
      <c r="A109" s="116"/>
      <c r="B109" s="117"/>
      <c r="D109" s="118"/>
      <c r="E109" s="118"/>
      <c r="F109" s="118"/>
      <c r="G109" s="119"/>
      <c r="H109" s="119"/>
      <c r="I109" s="119"/>
      <c r="J109" s="119"/>
      <c r="K109" s="120"/>
      <c r="L109" s="121"/>
      <c r="M109" s="121"/>
      <c r="N109" s="121"/>
      <c r="P109" s="110"/>
      <c r="Q109" s="110"/>
      <c r="R109" s="110"/>
      <c r="S109" s="110"/>
    </row>
    <row r="110" spans="1:19" s="109" customFormat="1" x14ac:dyDescent="0.25">
      <c r="A110" s="116"/>
      <c r="B110" s="117"/>
      <c r="D110" s="118"/>
      <c r="E110" s="118"/>
      <c r="F110" s="118"/>
      <c r="G110" s="119"/>
      <c r="H110" s="119"/>
      <c r="I110" s="119"/>
      <c r="J110" s="119"/>
      <c r="K110" s="120"/>
      <c r="L110" s="121"/>
      <c r="M110" s="121"/>
      <c r="N110" s="121"/>
      <c r="P110" s="110"/>
      <c r="Q110" s="110"/>
      <c r="R110" s="110"/>
      <c r="S110" s="110"/>
    </row>
    <row r="111" spans="1:19" s="109" customFormat="1" x14ac:dyDescent="0.25">
      <c r="A111" s="116"/>
      <c r="B111" s="117"/>
      <c r="D111" s="118"/>
      <c r="E111" s="118"/>
      <c r="F111" s="118"/>
      <c r="G111" s="119"/>
      <c r="H111" s="119"/>
      <c r="I111" s="119"/>
      <c r="J111" s="119"/>
      <c r="K111" s="120"/>
      <c r="L111" s="121"/>
      <c r="M111" s="121"/>
      <c r="N111" s="121"/>
      <c r="P111" s="110"/>
      <c r="Q111" s="110"/>
      <c r="R111" s="110"/>
      <c r="S111" s="110"/>
    </row>
    <row r="112" spans="1:19" s="109" customFormat="1" x14ac:dyDescent="0.25">
      <c r="A112" s="116"/>
      <c r="B112" s="117"/>
      <c r="D112" s="118"/>
      <c r="E112" s="118"/>
      <c r="F112" s="118"/>
      <c r="G112" s="119"/>
      <c r="H112" s="119"/>
      <c r="I112" s="119"/>
      <c r="J112" s="119"/>
      <c r="K112" s="120"/>
      <c r="L112" s="121"/>
      <c r="M112" s="121"/>
      <c r="N112" s="121"/>
      <c r="P112" s="110"/>
      <c r="Q112" s="110"/>
      <c r="R112" s="110"/>
      <c r="S112" s="110"/>
    </row>
    <row r="113" spans="1:19" s="109" customFormat="1" x14ac:dyDescent="0.25">
      <c r="A113" s="116"/>
      <c r="B113" s="117"/>
      <c r="D113" s="118"/>
      <c r="E113" s="118"/>
      <c r="F113" s="118"/>
      <c r="G113" s="119"/>
      <c r="H113" s="119"/>
      <c r="I113" s="119"/>
      <c r="J113" s="119"/>
      <c r="K113" s="120"/>
      <c r="L113" s="121"/>
      <c r="M113" s="121"/>
      <c r="N113" s="121"/>
      <c r="P113" s="110"/>
      <c r="Q113" s="110"/>
      <c r="R113" s="110"/>
      <c r="S113" s="110"/>
    </row>
    <row r="114" spans="1:19" s="109" customFormat="1" x14ac:dyDescent="0.25">
      <c r="A114" s="116"/>
      <c r="B114" s="117"/>
      <c r="D114" s="118"/>
      <c r="E114" s="118"/>
      <c r="F114" s="118"/>
      <c r="G114" s="119"/>
      <c r="H114" s="119"/>
      <c r="I114" s="119"/>
      <c r="J114" s="119"/>
      <c r="K114" s="120"/>
      <c r="L114" s="121"/>
      <c r="M114" s="121"/>
      <c r="N114" s="121"/>
      <c r="P114" s="110"/>
      <c r="Q114" s="110"/>
      <c r="R114" s="110"/>
      <c r="S114" s="110"/>
    </row>
    <row r="115" spans="1:19" s="109" customFormat="1" x14ac:dyDescent="0.25">
      <c r="A115" s="116"/>
      <c r="B115" s="117"/>
      <c r="D115" s="118"/>
      <c r="E115" s="118"/>
      <c r="F115" s="118"/>
      <c r="G115" s="119"/>
      <c r="H115" s="119"/>
      <c r="I115" s="119"/>
      <c r="J115" s="119"/>
      <c r="K115" s="120"/>
      <c r="L115" s="121"/>
      <c r="M115" s="121"/>
      <c r="N115" s="121"/>
      <c r="P115" s="110"/>
      <c r="Q115" s="110"/>
      <c r="R115" s="110"/>
      <c r="S115" s="110"/>
    </row>
    <row r="116" spans="1:19" s="109" customFormat="1" x14ac:dyDescent="0.25">
      <c r="A116" s="116"/>
      <c r="B116" s="117"/>
      <c r="D116" s="118"/>
      <c r="E116" s="118"/>
      <c r="F116" s="118"/>
      <c r="G116" s="119"/>
      <c r="H116" s="119"/>
      <c r="I116" s="119"/>
      <c r="J116" s="119"/>
      <c r="K116" s="120"/>
      <c r="L116" s="121"/>
      <c r="M116" s="121"/>
      <c r="N116" s="121"/>
      <c r="P116" s="110"/>
      <c r="Q116" s="110"/>
      <c r="R116" s="110"/>
      <c r="S116" s="110"/>
    </row>
    <row r="117" spans="1:19" s="109" customFormat="1" x14ac:dyDescent="0.25">
      <c r="A117" s="116"/>
      <c r="B117" s="117"/>
      <c r="D117" s="118"/>
      <c r="E117" s="118"/>
      <c r="F117" s="118"/>
      <c r="G117" s="119"/>
      <c r="H117" s="119"/>
      <c r="I117" s="119"/>
      <c r="J117" s="119"/>
      <c r="K117" s="120"/>
      <c r="L117" s="121"/>
      <c r="M117" s="121"/>
      <c r="N117" s="121"/>
      <c r="P117" s="110"/>
      <c r="Q117" s="110"/>
      <c r="R117" s="110"/>
      <c r="S117" s="110"/>
    </row>
    <row r="118" spans="1:19" s="109" customFormat="1" x14ac:dyDescent="0.25">
      <c r="A118" s="116"/>
      <c r="B118" s="117"/>
      <c r="D118" s="118"/>
      <c r="E118" s="118"/>
      <c r="F118" s="118"/>
      <c r="G118" s="119"/>
      <c r="H118" s="119"/>
      <c r="I118" s="119"/>
      <c r="J118" s="119"/>
      <c r="K118" s="120"/>
      <c r="L118" s="121"/>
      <c r="M118" s="121"/>
      <c r="N118" s="121"/>
      <c r="P118" s="110"/>
      <c r="Q118" s="110"/>
      <c r="R118" s="110"/>
      <c r="S118" s="110"/>
    </row>
    <row r="119" spans="1:19" s="109" customFormat="1" x14ac:dyDescent="0.25">
      <c r="A119" s="116"/>
      <c r="B119" s="117"/>
      <c r="D119" s="118"/>
      <c r="E119" s="118"/>
      <c r="F119" s="118"/>
      <c r="G119" s="119"/>
      <c r="H119" s="119"/>
      <c r="I119" s="119"/>
      <c r="J119" s="119"/>
      <c r="K119" s="120"/>
      <c r="L119" s="121"/>
      <c r="M119" s="121"/>
      <c r="N119" s="121"/>
      <c r="P119" s="110"/>
      <c r="Q119" s="110"/>
      <c r="R119" s="110"/>
      <c r="S119" s="110"/>
    </row>
    <row r="120" spans="1:19" s="109" customFormat="1" x14ac:dyDescent="0.25">
      <c r="A120" s="116"/>
      <c r="B120" s="117"/>
      <c r="D120" s="118"/>
      <c r="E120" s="118"/>
      <c r="F120" s="118"/>
      <c r="G120" s="119"/>
      <c r="H120" s="119"/>
      <c r="I120" s="119"/>
      <c r="J120" s="119"/>
      <c r="K120" s="120"/>
      <c r="L120" s="121"/>
      <c r="M120" s="121"/>
      <c r="N120" s="121"/>
      <c r="P120" s="110"/>
      <c r="Q120" s="110"/>
      <c r="R120" s="110"/>
      <c r="S120" s="110"/>
    </row>
    <row r="121" spans="1:19" s="109" customFormat="1" x14ac:dyDescent="0.25">
      <c r="A121" s="116"/>
      <c r="B121" s="117"/>
      <c r="D121" s="118"/>
      <c r="E121" s="118"/>
      <c r="F121" s="118"/>
      <c r="G121" s="119"/>
      <c r="H121" s="119"/>
      <c r="I121" s="119"/>
      <c r="J121" s="119"/>
      <c r="K121" s="120"/>
      <c r="L121" s="121"/>
      <c r="M121" s="121"/>
      <c r="N121" s="121"/>
      <c r="P121" s="110"/>
      <c r="Q121" s="110"/>
      <c r="R121" s="110"/>
      <c r="S121" s="110"/>
    </row>
    <row r="122" spans="1:19" s="109" customFormat="1" x14ac:dyDescent="0.25">
      <c r="A122" s="116"/>
      <c r="B122" s="117"/>
      <c r="D122" s="118"/>
      <c r="E122" s="118"/>
      <c r="F122" s="118"/>
      <c r="G122" s="119"/>
      <c r="H122" s="119"/>
      <c r="I122" s="119"/>
      <c r="J122" s="119"/>
      <c r="K122" s="120"/>
      <c r="L122" s="121"/>
      <c r="M122" s="121"/>
      <c r="N122" s="121"/>
      <c r="P122" s="110"/>
      <c r="Q122" s="110"/>
      <c r="R122" s="110"/>
      <c r="S122" s="110"/>
    </row>
    <row r="123" spans="1:19" s="109" customFormat="1" x14ac:dyDescent="0.25">
      <c r="A123" s="116"/>
      <c r="B123" s="117"/>
      <c r="D123" s="118"/>
      <c r="E123" s="118"/>
      <c r="F123" s="118"/>
      <c r="G123" s="119"/>
      <c r="H123" s="119"/>
      <c r="I123" s="119"/>
      <c r="J123" s="119"/>
      <c r="K123" s="120"/>
      <c r="L123" s="121"/>
      <c r="M123" s="121"/>
      <c r="N123" s="121"/>
      <c r="P123" s="110"/>
      <c r="Q123" s="110"/>
      <c r="R123" s="110"/>
      <c r="S123" s="110"/>
    </row>
    <row r="124" spans="1:19" s="109" customFormat="1" x14ac:dyDescent="0.25">
      <c r="A124" s="116"/>
      <c r="B124" s="117"/>
      <c r="D124" s="118"/>
      <c r="E124" s="118"/>
      <c r="F124" s="118"/>
      <c r="G124" s="119"/>
      <c r="H124" s="119"/>
      <c r="I124" s="119"/>
      <c r="J124" s="119"/>
      <c r="K124" s="120"/>
      <c r="L124" s="121"/>
      <c r="M124" s="121"/>
      <c r="N124" s="121"/>
      <c r="P124" s="110"/>
      <c r="Q124" s="110"/>
      <c r="R124" s="110"/>
      <c r="S124" s="110"/>
    </row>
    <row r="125" spans="1:19" s="109" customFormat="1" x14ac:dyDescent="0.25">
      <c r="A125" s="116"/>
      <c r="B125" s="117"/>
      <c r="D125" s="118"/>
      <c r="E125" s="118"/>
      <c r="F125" s="118"/>
      <c r="G125" s="119"/>
      <c r="H125" s="119"/>
      <c r="I125" s="119"/>
      <c r="J125" s="119"/>
      <c r="K125" s="120"/>
      <c r="L125" s="121"/>
      <c r="M125" s="121"/>
      <c r="N125" s="121"/>
      <c r="P125" s="110"/>
      <c r="Q125" s="110"/>
      <c r="R125" s="110"/>
      <c r="S125" s="110"/>
    </row>
    <row r="126" spans="1:19" s="109" customFormat="1" x14ac:dyDescent="0.25">
      <c r="A126" s="116"/>
      <c r="B126" s="117"/>
      <c r="D126" s="118"/>
      <c r="E126" s="118"/>
      <c r="F126" s="118"/>
      <c r="G126" s="119"/>
      <c r="H126" s="119"/>
      <c r="I126" s="119"/>
      <c r="J126" s="119"/>
      <c r="K126" s="120"/>
      <c r="L126" s="121"/>
      <c r="M126" s="121"/>
      <c r="N126" s="121"/>
      <c r="P126" s="110"/>
      <c r="Q126" s="110"/>
      <c r="R126" s="110"/>
      <c r="S126" s="110"/>
    </row>
    <row r="127" spans="1:19" s="109" customFormat="1" x14ac:dyDescent="0.25">
      <c r="A127" s="116"/>
      <c r="B127" s="117"/>
      <c r="D127" s="118"/>
      <c r="E127" s="118"/>
      <c r="F127" s="118"/>
      <c r="G127" s="119"/>
      <c r="H127" s="119"/>
      <c r="I127" s="119"/>
      <c r="J127" s="119"/>
      <c r="K127" s="120"/>
      <c r="L127" s="121"/>
      <c r="M127" s="121"/>
      <c r="N127" s="121"/>
      <c r="P127" s="110"/>
      <c r="Q127" s="110"/>
      <c r="R127" s="110"/>
      <c r="S127" s="110"/>
    </row>
    <row r="128" spans="1:19" s="109" customFormat="1" x14ac:dyDescent="0.25">
      <c r="A128" s="116"/>
      <c r="B128" s="117"/>
      <c r="D128" s="118"/>
      <c r="E128" s="118"/>
      <c r="F128" s="118"/>
      <c r="G128" s="119"/>
      <c r="H128" s="119"/>
      <c r="I128" s="119"/>
      <c r="J128" s="119"/>
      <c r="K128" s="120"/>
      <c r="L128" s="121"/>
      <c r="M128" s="121"/>
      <c r="N128" s="121"/>
      <c r="P128" s="110"/>
      <c r="Q128" s="110"/>
      <c r="R128" s="110"/>
      <c r="S128" s="110"/>
    </row>
    <row r="129" spans="1:19" s="109" customFormat="1" x14ac:dyDescent="0.25">
      <c r="A129" s="116"/>
      <c r="B129" s="117"/>
      <c r="D129" s="118"/>
      <c r="E129" s="118"/>
      <c r="F129" s="118"/>
      <c r="G129" s="119"/>
      <c r="H129" s="119"/>
      <c r="I129" s="119"/>
      <c r="J129" s="119"/>
      <c r="K129" s="120"/>
      <c r="L129" s="121"/>
      <c r="M129" s="121"/>
      <c r="N129" s="121"/>
      <c r="P129" s="110"/>
      <c r="Q129" s="110"/>
      <c r="R129" s="110"/>
      <c r="S129" s="110"/>
    </row>
    <row r="130" spans="1:19" s="109" customFormat="1" x14ac:dyDescent="0.25">
      <c r="A130" s="116"/>
      <c r="B130" s="117"/>
      <c r="D130" s="118"/>
      <c r="E130" s="118"/>
      <c r="F130" s="118"/>
      <c r="G130" s="119"/>
      <c r="H130" s="119"/>
      <c r="I130" s="119"/>
      <c r="J130" s="119"/>
      <c r="K130" s="120"/>
      <c r="L130" s="121"/>
      <c r="M130" s="121"/>
      <c r="N130" s="121"/>
      <c r="P130" s="110"/>
      <c r="Q130" s="110"/>
      <c r="R130" s="110"/>
      <c r="S130" s="110"/>
    </row>
    <row r="131" spans="1:19" s="109" customFormat="1" x14ac:dyDescent="0.25">
      <c r="A131" s="116"/>
      <c r="B131" s="117"/>
      <c r="D131" s="118"/>
      <c r="E131" s="118"/>
      <c r="F131" s="118"/>
      <c r="G131" s="119"/>
      <c r="H131" s="119"/>
      <c r="I131" s="119"/>
      <c r="J131" s="119"/>
      <c r="K131" s="120"/>
      <c r="L131" s="121"/>
      <c r="M131" s="121"/>
      <c r="N131" s="121"/>
      <c r="P131" s="110"/>
      <c r="Q131" s="110"/>
      <c r="R131" s="110"/>
      <c r="S131" s="110"/>
    </row>
    <row r="132" spans="1:19" s="109" customFormat="1" x14ac:dyDescent="0.25">
      <c r="A132" s="116"/>
      <c r="B132" s="117"/>
      <c r="D132" s="118"/>
      <c r="E132" s="118"/>
      <c r="F132" s="118"/>
      <c r="G132" s="119"/>
      <c r="H132" s="119"/>
      <c r="I132" s="119"/>
      <c r="J132" s="119"/>
      <c r="K132" s="120"/>
      <c r="L132" s="121"/>
      <c r="M132" s="121"/>
      <c r="N132" s="121"/>
      <c r="P132" s="110"/>
      <c r="Q132" s="110"/>
      <c r="R132" s="110"/>
      <c r="S132" s="110"/>
    </row>
    <row r="133" spans="1:19" s="109" customFormat="1" x14ac:dyDescent="0.25">
      <c r="A133" s="116"/>
      <c r="B133" s="117"/>
      <c r="D133" s="118"/>
      <c r="E133" s="118"/>
      <c r="F133" s="118"/>
      <c r="G133" s="119"/>
      <c r="H133" s="119"/>
      <c r="I133" s="119"/>
      <c r="J133" s="119"/>
      <c r="K133" s="120"/>
      <c r="L133" s="121"/>
      <c r="M133" s="121"/>
      <c r="N133" s="121"/>
      <c r="P133" s="110"/>
      <c r="Q133" s="110"/>
      <c r="R133" s="110"/>
      <c r="S133" s="110"/>
    </row>
    <row r="134" spans="1:19" s="109" customFormat="1" x14ac:dyDescent="0.25">
      <c r="A134" s="116"/>
      <c r="B134" s="117"/>
      <c r="D134" s="118"/>
      <c r="E134" s="118"/>
      <c r="F134" s="118"/>
      <c r="G134" s="119"/>
      <c r="H134" s="119"/>
      <c r="I134" s="119"/>
      <c r="J134" s="119"/>
      <c r="K134" s="120"/>
      <c r="L134" s="121"/>
      <c r="M134" s="121"/>
      <c r="N134" s="121"/>
      <c r="P134" s="110"/>
      <c r="Q134" s="110"/>
      <c r="R134" s="110"/>
      <c r="S134" s="110"/>
    </row>
    <row r="135" spans="1:19" s="109" customFormat="1" x14ac:dyDescent="0.25">
      <c r="A135" s="116"/>
      <c r="B135" s="117"/>
      <c r="D135" s="118"/>
      <c r="E135" s="118"/>
      <c r="F135" s="118"/>
      <c r="G135" s="119"/>
      <c r="H135" s="119"/>
      <c r="I135" s="119"/>
      <c r="J135" s="119"/>
      <c r="K135" s="120"/>
      <c r="L135" s="121"/>
      <c r="M135" s="121"/>
      <c r="N135" s="121"/>
      <c r="P135" s="110"/>
      <c r="Q135" s="110"/>
      <c r="R135" s="110"/>
      <c r="S135" s="110"/>
    </row>
  </sheetData>
  <sheetProtection password="FB6B" sheet="1" formatCells="0" formatColumns="0" formatRows="0"/>
  <mergeCells count="135">
    <mergeCell ref="M55:M57"/>
    <mergeCell ref="N55:N57"/>
    <mergeCell ref="O55:O57"/>
    <mergeCell ref="H6:O6"/>
    <mergeCell ref="H14:O14"/>
    <mergeCell ref="O15:O17"/>
    <mergeCell ref="J12:W12"/>
    <mergeCell ref="H15:H17"/>
    <mergeCell ref="I15:N15"/>
    <mergeCell ref="I16:J16"/>
    <mergeCell ref="Q15:Q17"/>
    <mergeCell ref="B52:O52"/>
    <mergeCell ref="P20:Q20"/>
    <mergeCell ref="T15:T17"/>
    <mergeCell ref="M16:N16"/>
    <mergeCell ref="K16:L16"/>
    <mergeCell ref="T20:U20"/>
    <mergeCell ref="S15:S17"/>
    <mergeCell ref="R15:R17"/>
    <mergeCell ref="P15:P17"/>
    <mergeCell ref="D1:E1"/>
    <mergeCell ref="A8:G8"/>
    <mergeCell ref="B1:C1"/>
    <mergeCell ref="F1:G1"/>
    <mergeCell ref="A9:G9"/>
    <mergeCell ref="A10:G10"/>
    <mergeCell ref="D4:J4"/>
    <mergeCell ref="D5:J5"/>
    <mergeCell ref="H10:O10"/>
    <mergeCell ref="N1:O1"/>
    <mergeCell ref="A98:O99"/>
    <mergeCell ref="A86:O87"/>
    <mergeCell ref="A88:O89"/>
    <mergeCell ref="A90:O91"/>
    <mergeCell ref="A92:O93"/>
    <mergeCell ref="A94:O95"/>
    <mergeCell ref="A96:O97"/>
    <mergeCell ref="N60:O60"/>
    <mergeCell ref="A3:O3"/>
    <mergeCell ref="A6:G6"/>
    <mergeCell ref="H7:O7"/>
    <mergeCell ref="B18:E18"/>
    <mergeCell ref="B19:E19"/>
    <mergeCell ref="H8:O8"/>
    <mergeCell ref="A7:G7"/>
    <mergeCell ref="B13:E17"/>
    <mergeCell ref="J53:O53"/>
    <mergeCell ref="F13:F17"/>
    <mergeCell ref="H9:O9"/>
    <mergeCell ref="B54:H54"/>
    <mergeCell ref="A4:C4"/>
    <mergeCell ref="A5:C5"/>
    <mergeCell ref="G13:W13"/>
    <mergeCell ref="P14:W14"/>
    <mergeCell ref="W15:W17"/>
    <mergeCell ref="U15:V16"/>
    <mergeCell ref="G14:G17"/>
    <mergeCell ref="B82:E82"/>
    <mergeCell ref="A64:A68"/>
    <mergeCell ref="B64:E68"/>
    <mergeCell ref="B73:E73"/>
    <mergeCell ref="B74:E74"/>
    <mergeCell ref="B75:E75"/>
    <mergeCell ref="B76:E76"/>
    <mergeCell ref="B80:E80"/>
    <mergeCell ref="B79:E79"/>
    <mergeCell ref="B69:E69"/>
    <mergeCell ref="A62:O62"/>
    <mergeCell ref="H65:O65"/>
    <mergeCell ref="O66:O68"/>
    <mergeCell ref="B81:E81"/>
    <mergeCell ref="B70:E70"/>
    <mergeCell ref="B71:E71"/>
    <mergeCell ref="B78:E78"/>
    <mergeCell ref="B77:E77"/>
    <mergeCell ref="B33:E33"/>
    <mergeCell ref="B40:E40"/>
    <mergeCell ref="B41:E41"/>
    <mergeCell ref="M67:N67"/>
    <mergeCell ref="H66:H68"/>
    <mergeCell ref="I66:N66"/>
    <mergeCell ref="A63:E63"/>
    <mergeCell ref="D60:E60"/>
    <mergeCell ref="B43:E43"/>
    <mergeCell ref="B44:E44"/>
    <mergeCell ref="B53:H53"/>
    <mergeCell ref="B58:H58"/>
    <mergeCell ref="B56:H56"/>
    <mergeCell ref="B55:H55"/>
    <mergeCell ref="B72:E72"/>
    <mergeCell ref="K67:L67"/>
    <mergeCell ref="G65:G68"/>
    <mergeCell ref="J55:J57"/>
    <mergeCell ref="K55:K57"/>
    <mergeCell ref="L55:L57"/>
    <mergeCell ref="B48:E48"/>
    <mergeCell ref="B49:E49"/>
    <mergeCell ref="B57:H57"/>
    <mergeCell ref="B47:E47"/>
    <mergeCell ref="B46:E46"/>
    <mergeCell ref="I67:J67"/>
    <mergeCell ref="F60:G60"/>
    <mergeCell ref="B60:C60"/>
    <mergeCell ref="F64:F68"/>
    <mergeCell ref="G64:O64"/>
    <mergeCell ref="A12:E12"/>
    <mergeCell ref="A22:E22"/>
    <mergeCell ref="B28:E28"/>
    <mergeCell ref="A23:A27"/>
    <mergeCell ref="B23:E27"/>
    <mergeCell ref="H25:H27"/>
    <mergeCell ref="A13:A17"/>
    <mergeCell ref="G24:G27"/>
    <mergeCell ref="H24:O24"/>
    <mergeCell ref="K26:L26"/>
    <mergeCell ref="I25:N25"/>
    <mergeCell ref="B36:E36"/>
    <mergeCell ref="B37:E37"/>
    <mergeCell ref="B38:E38"/>
    <mergeCell ref="B35:E35"/>
    <mergeCell ref="F23:F27"/>
    <mergeCell ref="G23:O23"/>
    <mergeCell ref="B34:E34"/>
    <mergeCell ref="B30:E30"/>
    <mergeCell ref="B31:E31"/>
    <mergeCell ref="M26:N26"/>
    <mergeCell ref="B45:E45"/>
    <mergeCell ref="B39:E39"/>
    <mergeCell ref="K20:L20"/>
    <mergeCell ref="K21:L21"/>
    <mergeCell ref="O25:O27"/>
    <mergeCell ref="I26:J26"/>
    <mergeCell ref="B29:E29"/>
    <mergeCell ref="B42:E42"/>
    <mergeCell ref="B32:E32"/>
  </mergeCells>
  <conditionalFormatting sqref="F22:O22 I54 F19:H19 F29:O30 F70:G82 F48:O50 F31:G47 H46:O47 H35:O36 F20:K21 N20:O21">
    <cfRule type="cellIs" dxfId="310" priority="56" operator="lessThan">
      <formula>0</formula>
    </cfRule>
  </conditionalFormatting>
  <conditionalFormatting sqref="R19">
    <cfRule type="containsText" dxfId="309" priority="53" stopIfTrue="1" operator="containsText" text="ПОМИЛКА">
      <formula>NOT(ISERROR(SEARCH("ПОМИЛКА",R19)))</formula>
    </cfRule>
    <cfRule type="containsText" dxfId="308" priority="54" stopIfTrue="1" operator="containsText" text="Увага">
      <formula>NOT(ISERROR(SEARCH("Увага",R19)))</formula>
    </cfRule>
    <cfRule type="containsText" dxfId="307" priority="55" stopIfTrue="1" operator="containsText" text="ПРАВДА">
      <formula>NOT(ISERROR(SEARCH("ПРАВДА",R19)))</formula>
    </cfRule>
  </conditionalFormatting>
  <conditionalFormatting sqref="W19">
    <cfRule type="containsText" dxfId="306" priority="47" stopIfTrue="1" operator="containsText" text="ПОМИЛКА">
      <formula>NOT(ISERROR(SEARCH("ПОМИЛКА",W19)))</formula>
    </cfRule>
    <cfRule type="containsText" dxfId="305" priority="48" stopIfTrue="1" operator="containsText" text="Увага">
      <formula>NOT(ISERROR(SEARCH("Увага",W19)))</formula>
    </cfRule>
    <cfRule type="containsText" dxfId="304" priority="49" stopIfTrue="1" operator="containsText" text="ПРАВДА">
      <formula>NOT(ISERROR(SEARCH("ПРАВДА",W19)))</formula>
    </cfRule>
  </conditionalFormatting>
  <conditionalFormatting sqref="O19">
    <cfRule type="cellIs" dxfId="303" priority="43" operator="lessThan">
      <formula>0</formula>
    </cfRule>
  </conditionalFormatting>
  <conditionalFormatting sqref="H70:O75 H80:O82">
    <cfRule type="cellIs" dxfId="302" priority="34" operator="lessThan">
      <formula>0</formula>
    </cfRule>
  </conditionalFormatting>
  <conditionalFormatting sqref="I19:L19 N19">
    <cfRule type="cellIs" dxfId="301" priority="30" operator="lessThan">
      <formula>0</formula>
    </cfRule>
  </conditionalFormatting>
  <conditionalFormatting sqref="H37:O37">
    <cfRule type="cellIs" dxfId="300" priority="29" operator="lessThan">
      <formula>0</formula>
    </cfRule>
  </conditionalFormatting>
  <conditionalFormatting sqref="H31:O34">
    <cfRule type="cellIs" dxfId="299" priority="27" operator="lessThan">
      <formula>0</formula>
    </cfRule>
  </conditionalFormatting>
  <conditionalFormatting sqref="H38:O45">
    <cfRule type="cellIs" dxfId="298" priority="25" operator="lessThan">
      <formula>0</formula>
    </cfRule>
  </conditionalFormatting>
  <conditionalFormatting sqref="I55:I57">
    <cfRule type="cellIs" dxfId="297" priority="24" operator="lessThan">
      <formula>0</formula>
    </cfRule>
  </conditionalFormatting>
  <conditionalFormatting sqref="H76:O79">
    <cfRule type="cellIs" dxfId="296" priority="23" operator="lessThan">
      <formula>0</formula>
    </cfRule>
  </conditionalFormatting>
  <conditionalFormatting sqref="K58:M58 O58">
    <cfRule type="cellIs" dxfId="295" priority="8" operator="lessThan">
      <formula>0</formula>
    </cfRule>
  </conditionalFormatting>
  <conditionalFormatting sqref="M19">
    <cfRule type="cellIs" dxfId="294" priority="7" operator="lessThan">
      <formula>0</formula>
    </cfRule>
  </conditionalFormatting>
  <conditionalFormatting sqref="I58">
    <cfRule type="cellIs" dxfId="293" priority="6" operator="lessThan">
      <formula>0</formula>
    </cfRule>
  </conditionalFormatting>
  <conditionalFormatting sqref="M21">
    <cfRule type="cellIs" dxfId="292" priority="5" operator="lessThan">
      <formula>0</formula>
    </cfRule>
  </conditionalFormatting>
  <conditionalFormatting sqref="M20">
    <cfRule type="cellIs" dxfId="291" priority="4" operator="lessThan">
      <formula>0</formula>
    </cfRule>
  </conditionalFormatting>
  <conditionalFormatting sqref="J58">
    <cfRule type="cellIs" dxfId="290" priority="2" operator="lessThan">
      <formula>0</formula>
    </cfRule>
  </conditionalFormatting>
  <conditionalFormatting sqref="N58">
    <cfRule type="cellIs" dxfId="289" priority="1" operator="lessThan">
      <formula>0</formula>
    </cfRule>
  </conditionalFormatting>
  <dataValidations count="4">
    <dataValidation type="decimal" operator="greaterThanOrEqual" allowBlank="1" showInputMessage="1" showErrorMessage="1" error="Будь ласка, вкажіть додатнє число." sqref="F29:O49 S19:V19 P22:Q22 T22:U22 I54:I58 F19:Q19 F70:O82">
      <formula1>0</formula1>
    </dataValidation>
    <dataValidation type="textLength" operator="greaterThanOrEqual" allowBlank="1" showInputMessage="1" showErrorMessage="1" error="Будь ласка, вкажіть 8 знаків коду ЄДРПОУ. Якщо на початку коду зникають нулі - залиште, як є: не додавайте апостроф, кому чи букву О, замість нуля." sqref="D1:E1">
      <formula1>6</formula1>
    </dataValidation>
    <dataValidation type="decimal" operator="greaterThanOrEqual" allowBlank="1" showInputMessage="1" showErrorMessage="1" sqref="J58:O58">
      <formula1>0</formula1>
    </dataValidation>
    <dataValidation type="decimal" operator="greaterThanOrEqual" allowBlank="1" showInputMessage="1" showErrorMessage="1" sqref="M20:M21">
      <formula1>0</formula1>
    </dataValidation>
  </dataValidations>
  <pageMargins left="0" right="0" top="0" bottom="0" header="0.39370078740157483" footer="0.31496062992125984"/>
  <pageSetup paperSize="9" scale="32" orientation="landscape" r:id="rId1"/>
  <headerFooter alignWithMargins="0">
    <oddFooter>&amp;RСтор.  &amp;P</oddFooter>
  </headerFooter>
  <rowBreaks count="1" manualBreakCount="1">
    <brk id="5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5">
    <tabColor rgb="FFFFFF00"/>
  </sheetPr>
  <dimension ref="A1:AN278"/>
  <sheetViews>
    <sheetView showGridLines="0" view="pageBreakPreview" topLeftCell="A31" zoomScale="50" zoomScaleNormal="50" zoomScaleSheetLayoutView="50" zoomScalePageLayoutView="50" workbookViewId="0">
      <selection activeCell="K39" sqref="K39:K40"/>
    </sheetView>
  </sheetViews>
  <sheetFormatPr defaultColWidth="8.7109375" defaultRowHeight="18.75" x14ac:dyDescent="0.25"/>
  <cols>
    <col min="1" max="1" width="16.28515625" style="23" customWidth="1"/>
    <col min="2" max="2" width="14.7109375" style="1" customWidth="1"/>
    <col min="3" max="3" width="42.5703125" style="2" customWidth="1"/>
    <col min="4" max="4" width="17.42578125" style="64" customWidth="1"/>
    <col min="5" max="5" width="23.5703125" style="64" customWidth="1"/>
    <col min="6" max="6" width="25" style="64" customWidth="1"/>
    <col min="7" max="7" width="20.42578125" style="64" customWidth="1"/>
    <col min="8" max="8" width="22.85546875" style="4" customWidth="1"/>
    <col min="9" max="9" width="21.5703125" style="4" customWidth="1"/>
    <col min="10" max="10" width="29.42578125" style="4" customWidth="1"/>
    <col min="11" max="11" width="36.28515625" style="4" customWidth="1"/>
    <col min="12" max="12" width="29.42578125" style="4" customWidth="1"/>
    <col min="13" max="13" width="34" style="4" customWidth="1"/>
    <col min="14" max="14" width="19.5703125" style="4" customWidth="1"/>
    <col min="15" max="15" width="24.7109375" style="14" customWidth="1"/>
    <col min="16" max="16" width="31" style="14" customWidth="1"/>
    <col min="17" max="17" width="21.7109375" style="12" customWidth="1"/>
    <col min="18" max="18" width="27.7109375" style="2" hidden="1" customWidth="1"/>
    <col min="19" max="19" width="18.7109375" style="52" customWidth="1"/>
    <col min="20" max="20" width="18.7109375" style="84" customWidth="1"/>
    <col min="21" max="21" width="15.7109375" style="84" customWidth="1"/>
    <col min="22" max="22" width="24" style="84" customWidth="1"/>
    <col min="23" max="27" width="15.7109375" style="84" customWidth="1"/>
    <col min="28" max="28" width="21.7109375" style="84" customWidth="1"/>
    <col min="29" max="29" width="8.7109375" style="84"/>
    <col min="30" max="30" width="20.42578125" style="84" customWidth="1"/>
    <col min="31" max="40" width="8.7109375" style="84"/>
    <col min="41" max="233" width="8.7109375" style="2"/>
    <col min="234" max="234" width="78.5703125" style="2" customWidth="1"/>
    <col min="235" max="237" width="19.42578125" style="2" customWidth="1"/>
    <col min="238" max="16384" width="8.7109375" style="2"/>
  </cols>
  <sheetData>
    <row r="1" spans="1:40" ht="22.35" customHeight="1" x14ac:dyDescent="0.25">
      <c r="B1" s="2340" t="s">
        <v>0</v>
      </c>
      <c r="C1" s="2340"/>
      <c r="D1" s="2344">
        <f>'Звіт 1,2,3'!D1:H1</f>
        <v>2006707</v>
      </c>
      <c r="E1" s="2345"/>
      <c r="F1" s="2346"/>
      <c r="G1" s="2343" t="s">
        <v>1</v>
      </c>
      <c r="H1" s="2343"/>
      <c r="I1" s="380">
        <f>'Звіт 1,2,3'!H1</f>
        <v>430</v>
      </c>
      <c r="J1" s="71"/>
      <c r="K1" s="71"/>
      <c r="L1" s="71"/>
      <c r="M1" s="71"/>
      <c r="N1" s="71"/>
      <c r="O1" s="71"/>
      <c r="P1" s="71"/>
      <c r="Q1" s="152" t="s">
        <v>331</v>
      </c>
      <c r="R1" s="152"/>
      <c r="S1" s="152"/>
    </row>
    <row r="2" spans="1:40" ht="22.35" customHeight="1" x14ac:dyDescent="0.25">
      <c r="G2" s="4"/>
      <c r="J2" s="10"/>
      <c r="K2" s="2"/>
      <c r="L2" s="2"/>
      <c r="M2" s="2"/>
      <c r="N2" s="2"/>
      <c r="O2" s="186"/>
      <c r="P2" s="2"/>
      <c r="Q2" s="153" t="s">
        <v>298</v>
      </c>
      <c r="R2" s="153"/>
      <c r="S2" s="153"/>
    </row>
    <row r="3" spans="1:40" ht="19.350000000000001" customHeight="1" x14ac:dyDescent="0.25">
      <c r="A3" s="2239" t="str">
        <f>'Звіт 1,2,3'!A3</f>
        <v>ЗВІТ ПРО ДОХОДИ ТА ВИТРАТИ за 1 квартал  2021 року</v>
      </c>
      <c r="B3" s="2239"/>
      <c r="C3" s="2239"/>
      <c r="D3" s="2239"/>
      <c r="E3" s="2239"/>
      <c r="F3" s="2239"/>
      <c r="G3" s="2239"/>
      <c r="H3" s="2239"/>
      <c r="I3" s="2239"/>
      <c r="J3" s="18"/>
      <c r="K3" s="18"/>
      <c r="L3" s="18"/>
      <c r="M3" s="18"/>
      <c r="N3" s="18"/>
      <c r="O3" s="18"/>
      <c r="P3" s="18"/>
      <c r="Q3" s="18"/>
      <c r="R3" s="18"/>
      <c r="S3" s="18"/>
    </row>
    <row r="4" spans="1:40" s="52" customFormat="1" ht="37.9" customHeight="1" thickBot="1" x14ac:dyDescent="0.3">
      <c r="A4" s="2310" t="s">
        <v>516</v>
      </c>
      <c r="B4" s="2310"/>
      <c r="C4" s="2310"/>
      <c r="D4" s="45"/>
      <c r="E4" s="45"/>
      <c r="F4" s="45"/>
      <c r="G4" s="45"/>
      <c r="H4" s="45"/>
      <c r="I4" s="45"/>
      <c r="J4" s="2378" t="s">
        <v>1855</v>
      </c>
      <c r="K4" s="2378"/>
      <c r="L4" s="2378"/>
      <c r="M4" s="2378"/>
      <c r="N4" s="574"/>
      <c r="O4" s="574"/>
      <c r="P4" s="574"/>
      <c r="Q4" s="574"/>
      <c r="R4" s="574"/>
      <c r="U4" s="85"/>
      <c r="V4" s="85"/>
      <c r="W4" s="85"/>
      <c r="X4" s="85"/>
      <c r="Y4" s="85"/>
      <c r="Z4" s="85"/>
      <c r="AA4" s="85"/>
      <c r="AB4" s="85"/>
      <c r="AC4" s="85"/>
      <c r="AD4" s="85"/>
      <c r="AE4" s="85"/>
      <c r="AF4" s="85"/>
      <c r="AG4" s="85"/>
      <c r="AH4" s="85"/>
      <c r="AI4" s="85"/>
      <c r="AJ4" s="85"/>
      <c r="AK4" s="85"/>
      <c r="AL4" s="85"/>
      <c r="AM4" s="85"/>
      <c r="AN4" s="85"/>
    </row>
    <row r="5" spans="1:40" s="52" customFormat="1" ht="42" customHeight="1" x14ac:dyDescent="0.25">
      <c r="A5" s="1601" t="s">
        <v>6</v>
      </c>
      <c r="B5" s="2212" t="s">
        <v>7</v>
      </c>
      <c r="C5" s="2212"/>
      <c r="D5" s="2212"/>
      <c r="E5" s="2212"/>
      <c r="F5" s="1604" t="s">
        <v>87</v>
      </c>
      <c r="G5" s="59" t="s">
        <v>297</v>
      </c>
      <c r="H5" s="1604" t="s">
        <v>8</v>
      </c>
      <c r="I5" s="60" t="s">
        <v>297</v>
      </c>
      <c r="J5" s="2313" t="s">
        <v>1234</v>
      </c>
      <c r="K5" s="2314" t="s">
        <v>1243</v>
      </c>
      <c r="L5" s="2314" t="s">
        <v>1242</v>
      </c>
      <c r="M5" s="2314" t="s">
        <v>1244</v>
      </c>
      <c r="R5" s="2309"/>
      <c r="S5" s="2309"/>
      <c r="T5" s="2309"/>
      <c r="U5" s="2309"/>
      <c r="V5" s="85"/>
      <c r="W5" s="85"/>
      <c r="X5" s="85"/>
      <c r="Y5" s="85"/>
      <c r="Z5" s="85"/>
      <c r="AA5" s="85"/>
      <c r="AB5" s="85"/>
      <c r="AC5" s="85"/>
      <c r="AD5" s="85"/>
      <c r="AE5" s="85"/>
      <c r="AF5" s="85"/>
      <c r="AG5" s="85"/>
      <c r="AH5" s="85"/>
      <c r="AI5" s="85"/>
      <c r="AJ5" s="85"/>
      <c r="AK5" s="85"/>
      <c r="AL5" s="85"/>
      <c r="AM5" s="85"/>
      <c r="AN5" s="85"/>
    </row>
    <row r="6" spans="1:40" s="52" customFormat="1" ht="32.450000000000003" customHeight="1" x14ac:dyDescent="0.25">
      <c r="A6" s="1602" t="s">
        <v>9</v>
      </c>
      <c r="B6" s="2214">
        <v>2</v>
      </c>
      <c r="C6" s="2214"/>
      <c r="D6" s="2214"/>
      <c r="E6" s="2214"/>
      <c r="F6" s="50">
        <v>3</v>
      </c>
      <c r="G6" s="51">
        <v>4</v>
      </c>
      <c r="H6" s="50">
        <v>5</v>
      </c>
      <c r="I6" s="973">
        <v>6</v>
      </c>
      <c r="J6" s="2313"/>
      <c r="K6" s="2314"/>
      <c r="L6" s="2314"/>
      <c r="M6" s="2314"/>
      <c r="N6" s="1513"/>
      <c r="V6" s="85"/>
      <c r="W6" s="85"/>
      <c r="X6" s="85"/>
      <c r="Y6" s="85"/>
      <c r="Z6" s="85"/>
      <c r="AA6" s="85"/>
      <c r="AB6" s="85"/>
      <c r="AC6" s="85"/>
      <c r="AD6" s="85"/>
      <c r="AE6" s="85"/>
      <c r="AF6" s="85"/>
      <c r="AG6" s="85"/>
      <c r="AH6" s="85"/>
      <c r="AI6" s="85"/>
      <c r="AJ6" s="85"/>
      <c r="AK6" s="85"/>
      <c r="AL6" s="85"/>
      <c r="AM6" s="85"/>
      <c r="AN6" s="85"/>
    </row>
    <row r="7" spans="1:40" ht="28.9" customHeight="1" thickBot="1" x14ac:dyDescent="0.3">
      <c r="A7" s="203" t="s">
        <v>278</v>
      </c>
      <c r="B7" s="2380" t="s">
        <v>279</v>
      </c>
      <c r="C7" s="2380"/>
      <c r="D7" s="2380"/>
      <c r="E7" s="2380"/>
      <c r="F7" s="194">
        <f>SUM(F8,F15,F22)</f>
        <v>0</v>
      </c>
      <c r="G7" s="195">
        <v>1</v>
      </c>
      <c r="H7" s="194">
        <f>SUM(H8,H15,H22)</f>
        <v>23081835</v>
      </c>
      <c r="I7" s="974">
        <v>1</v>
      </c>
      <c r="J7" s="2313"/>
      <c r="K7" s="2314"/>
      <c r="L7" s="2314"/>
      <c r="M7" s="2314"/>
      <c r="N7" s="1513"/>
      <c r="R7" s="673"/>
      <c r="S7" s="673"/>
      <c r="T7" s="673"/>
      <c r="U7" s="673"/>
    </row>
    <row r="8" spans="1:40" ht="28.9" customHeight="1" x14ac:dyDescent="0.25">
      <c r="A8" s="388" t="s">
        <v>212</v>
      </c>
      <c r="B8" s="2335" t="s">
        <v>94</v>
      </c>
      <c r="C8" s="2335"/>
      <c r="D8" s="2335"/>
      <c r="E8" s="2335"/>
      <c r="F8" s="196">
        <f>SUM(F9,F10,F11,F13)</f>
        <v>0</v>
      </c>
      <c r="G8" s="197" t="e">
        <f>F8/$F$7</f>
        <v>#DIV/0!</v>
      </c>
      <c r="H8" s="196">
        <f>SUM(H9,H10,H11,H13)</f>
        <v>14296309</v>
      </c>
      <c r="I8" s="198">
        <f>H8/$H$7</f>
        <v>0.61937488938812713</v>
      </c>
      <c r="J8" s="1630" t="str">
        <f>IF('Звіт   4,5,6'!E39=0,"Дані не введено",IF(OR(AND(F9&gt;0,F30&gt;0,F9&gt;=F30),AND(F9=0,F30=0)),"ПРАВДА","ПОМИЛКА"))</f>
        <v>ПРАВДА</v>
      </c>
      <c r="K8" s="1599" t="str">
        <f>IF('Звіт   4,5,6'!E39=0,"Дані не введено",IF(OR(AND(H9&gt;0,H30&gt;0,H9&gt;=H30),AND(H9=0,H30=0)),"ПРАВДА","ПОМИЛКА"))</f>
        <v>ПРАВДА</v>
      </c>
      <c r="L8" s="1599" t="str">
        <f>IF('Звіт   4,5,6'!E39=0,"Дані не введено",IF(OR(AND(F10&gt;0,F31&gt;0,F10&gt;=F31),AND(F10=0,F31=0)),"ПРАВДА","ПОМИЛКА"))</f>
        <v>ПРАВДА</v>
      </c>
      <c r="M8" s="1599" t="str">
        <f>IF('Звіт   4,5,6'!E39=0,"Дані не введено",IF(OR(AND(H10&gt;0,H31&gt;0,H10&gt;=H31),AND(H10=0,H31=0)),"ПРАВДА","ПОМИЛКА"))</f>
        <v>ПРАВДА</v>
      </c>
      <c r="N8" s="1513"/>
      <c r="R8" s="673"/>
      <c r="S8" s="673"/>
      <c r="T8" s="673"/>
      <c r="U8" s="673"/>
    </row>
    <row r="9" spans="1:40" ht="28.9" customHeight="1" x14ac:dyDescent="0.25">
      <c r="A9" s="389" t="s">
        <v>213</v>
      </c>
      <c r="B9" s="2351" t="s">
        <v>209</v>
      </c>
      <c r="C9" s="2351"/>
      <c r="D9" s="2351"/>
      <c r="E9" s="2351"/>
      <c r="F9" s="57">
        <v>0</v>
      </c>
      <c r="G9" s="176" t="s">
        <v>296</v>
      </c>
      <c r="H9" s="57">
        <v>0</v>
      </c>
      <c r="I9" s="199" t="s">
        <v>296</v>
      </c>
      <c r="J9" s="2334"/>
      <c r="K9" s="2334"/>
      <c r="L9" s="2334"/>
      <c r="M9" s="2334"/>
      <c r="N9" s="2334"/>
      <c r="O9" s="2334"/>
      <c r="P9" s="2334"/>
      <c r="Q9" s="2334"/>
      <c r="R9" s="673"/>
      <c r="S9" s="673"/>
      <c r="T9" s="673"/>
      <c r="U9" s="673"/>
    </row>
    <row r="10" spans="1:40" ht="28.5" customHeight="1" x14ac:dyDescent="0.25">
      <c r="A10" s="390" t="s">
        <v>214</v>
      </c>
      <c r="B10" s="2351" t="s">
        <v>210</v>
      </c>
      <c r="C10" s="2351"/>
      <c r="D10" s="2351"/>
      <c r="E10" s="2351"/>
      <c r="F10" s="57">
        <v>0</v>
      </c>
      <c r="G10" s="176" t="s">
        <v>296</v>
      </c>
      <c r="H10" s="57">
        <v>0</v>
      </c>
      <c r="I10" s="199" t="s">
        <v>296</v>
      </c>
      <c r="J10" s="2315" t="s">
        <v>842</v>
      </c>
      <c r="K10" s="2324" t="s">
        <v>843</v>
      </c>
      <c r="L10" s="500"/>
      <c r="M10" s="500"/>
      <c r="N10" s="1513"/>
      <c r="O10" s="500"/>
      <c r="P10" s="500"/>
      <c r="Q10" s="1615"/>
    </row>
    <row r="11" spans="1:40" ht="36" customHeight="1" x14ac:dyDescent="0.25">
      <c r="A11" s="391" t="s">
        <v>215</v>
      </c>
      <c r="B11" s="2351" t="s">
        <v>334</v>
      </c>
      <c r="C11" s="2351"/>
      <c r="D11" s="2351"/>
      <c r="E11" s="2351"/>
      <c r="F11" s="57">
        <v>0</v>
      </c>
      <c r="G11" s="105" t="e">
        <f>F11/$F$7</f>
        <v>#DIV/0!</v>
      </c>
      <c r="H11" s="57">
        <f>14296309</f>
        <v>14296309</v>
      </c>
      <c r="I11" s="107">
        <f>H11/$H$7</f>
        <v>0.61937488938812713</v>
      </c>
      <c r="J11" s="2316"/>
      <c r="K11" s="2325"/>
      <c r="L11" s="1603"/>
      <c r="M11" s="1603"/>
      <c r="N11" s="1603"/>
      <c r="O11" s="500"/>
      <c r="P11" s="500"/>
      <c r="Q11" s="1615"/>
      <c r="R11" s="2309"/>
      <c r="S11" s="2309"/>
    </row>
    <row r="12" spans="1:40" ht="30" customHeight="1" x14ac:dyDescent="0.25">
      <c r="A12" s="391" t="s">
        <v>216</v>
      </c>
      <c r="B12" s="2381" t="s">
        <v>1669</v>
      </c>
      <c r="C12" s="2381"/>
      <c r="D12" s="2381"/>
      <c r="E12" s="2381"/>
      <c r="F12" s="104">
        <f>'Дод_Доходи ПМГ '!D9</f>
        <v>0</v>
      </c>
      <c r="G12" s="105" t="e">
        <f>F12/$F$7</f>
        <v>#DIV/0!</v>
      </c>
      <c r="H12" s="104">
        <f>'Дод_Доходи ПМГ '!E9</f>
        <v>14296309</v>
      </c>
      <c r="I12" s="107">
        <f>H12/$H$7</f>
        <v>0.61937488938812713</v>
      </c>
      <c r="J12" s="2316"/>
      <c r="K12" s="2325"/>
    </row>
    <row r="13" spans="1:40" ht="33" customHeight="1" x14ac:dyDescent="0.25">
      <c r="A13" s="391" t="s">
        <v>217</v>
      </c>
      <c r="B13" s="2382" t="s">
        <v>1372</v>
      </c>
      <c r="C13" s="2382"/>
      <c r="D13" s="2382"/>
      <c r="E13" s="2382"/>
      <c r="F13" s="804">
        <v>0</v>
      </c>
      <c r="G13" s="805" t="s">
        <v>296</v>
      </c>
      <c r="H13" s="804">
        <v>0</v>
      </c>
      <c r="I13" s="1631" t="s">
        <v>296</v>
      </c>
      <c r="J13" s="2317"/>
      <c r="K13" s="2326"/>
      <c r="L13" s="338"/>
      <c r="M13" s="338"/>
      <c r="N13" s="1513"/>
    </row>
    <row r="14" spans="1:40" ht="36" customHeight="1" thickBot="1" x14ac:dyDescent="0.3">
      <c r="A14" s="806" t="s">
        <v>1373</v>
      </c>
      <c r="B14" s="2379" t="s">
        <v>1403</v>
      </c>
      <c r="C14" s="2379"/>
      <c r="D14" s="2379"/>
      <c r="E14" s="2379"/>
      <c r="F14" s="807">
        <v>0</v>
      </c>
      <c r="G14" s="808"/>
      <c r="H14" s="1495"/>
      <c r="I14" s="1632"/>
      <c r="J14" s="1630" t="str">
        <f>IF('Звіт   4,5,6'!E39=0,"Дані не введено",IF(F16=N38,"ПРАВДА","ПОМИЛКА"))</f>
        <v>ПРАВДА</v>
      </c>
      <c r="K14" s="1599" t="str">
        <f>IF('Звіт   4,5,6'!E39=0,"Дані не введено",IF(H16=O38,"ПРАВДА","ПОМИЛКА"))</f>
        <v>ПРАВДА</v>
      </c>
      <c r="L14" s="338"/>
      <c r="M14" s="338"/>
      <c r="N14" s="650"/>
    </row>
    <row r="15" spans="1:40" ht="28.9" customHeight="1" x14ac:dyDescent="0.25">
      <c r="A15" s="388" t="s">
        <v>281</v>
      </c>
      <c r="B15" s="2335" t="s">
        <v>451</v>
      </c>
      <c r="C15" s="2335"/>
      <c r="D15" s="2335"/>
      <c r="E15" s="2335"/>
      <c r="F15" s="254">
        <f>F16+F18+F19+F20</f>
        <v>0</v>
      </c>
      <c r="G15" s="202" t="e">
        <f>F15/$F$7</f>
        <v>#DIV/0!</v>
      </c>
      <c r="H15" s="254">
        <f>H16+H18+H19+H20</f>
        <v>8668230</v>
      </c>
      <c r="I15" s="1633">
        <f>H15/$H$7</f>
        <v>0.37554336559463319</v>
      </c>
      <c r="L15" s="338"/>
      <c r="M15" s="338"/>
      <c r="N15" s="164"/>
    </row>
    <row r="16" spans="1:40" ht="43.5" customHeight="1" x14ac:dyDescent="0.25">
      <c r="A16" s="392" t="s">
        <v>448</v>
      </c>
      <c r="B16" s="2375" t="s">
        <v>452</v>
      </c>
      <c r="C16" s="2375"/>
      <c r="D16" s="2375"/>
      <c r="E16" s="2375"/>
      <c r="F16" s="990">
        <v>0</v>
      </c>
      <c r="G16" s="1020" t="e">
        <f>F16/$F$7</f>
        <v>#DIV/0!</v>
      </c>
      <c r="H16" s="990">
        <v>8649028</v>
      </c>
      <c r="I16" s="252">
        <f>H16/$H$7</f>
        <v>0.37471145599992373</v>
      </c>
      <c r="L16" s="332"/>
      <c r="M16" s="332"/>
      <c r="O16" s="1540"/>
    </row>
    <row r="17" spans="1:19" ht="33" customHeight="1" x14ac:dyDescent="0.25">
      <c r="A17" s="812" t="s">
        <v>1404</v>
      </c>
      <c r="B17" s="2347" t="s">
        <v>1406</v>
      </c>
      <c r="C17" s="2347"/>
      <c r="D17" s="2347"/>
      <c r="E17" s="2347"/>
      <c r="F17" s="57">
        <v>0</v>
      </c>
      <c r="G17" s="251" t="e">
        <f>F17/$F$7</f>
        <v>#DIV/0!</v>
      </c>
      <c r="H17" s="57">
        <v>0</v>
      </c>
      <c r="I17" s="252">
        <f>H17/$H$7</f>
        <v>0</v>
      </c>
      <c r="J17" s="1614"/>
      <c r="K17" s="500"/>
      <c r="L17" s="500"/>
      <c r="M17" s="632"/>
      <c r="N17" s="500"/>
      <c r="O17" s="1617"/>
      <c r="P17" s="500"/>
      <c r="Q17" s="1615"/>
      <c r="R17" s="1615"/>
      <c r="S17" s="1541"/>
    </row>
    <row r="18" spans="1:19" ht="42" customHeight="1" x14ac:dyDescent="0.25">
      <c r="A18" s="393" t="s">
        <v>449</v>
      </c>
      <c r="B18" s="2308" t="s">
        <v>1635</v>
      </c>
      <c r="C18" s="2308"/>
      <c r="D18" s="2308"/>
      <c r="E18" s="2308"/>
      <c r="F18" s="57">
        <v>0</v>
      </c>
      <c r="G18" s="176"/>
      <c r="H18" s="57">
        <v>0</v>
      </c>
      <c r="I18" s="199"/>
      <c r="J18" s="1616"/>
      <c r="K18" s="1618"/>
      <c r="L18" s="1618"/>
      <c r="M18" s="1619"/>
      <c r="N18" s="1600"/>
      <c r="O18" s="1617"/>
      <c r="P18" s="1617"/>
      <c r="Q18" s="1620"/>
      <c r="R18" s="1621"/>
      <c r="S18" s="1519"/>
    </row>
    <row r="19" spans="1:19" ht="35.25" customHeight="1" x14ac:dyDescent="0.25">
      <c r="A19" s="393" t="s">
        <v>450</v>
      </c>
      <c r="B19" s="2308" t="s">
        <v>479</v>
      </c>
      <c r="C19" s="2308"/>
      <c r="D19" s="2308"/>
      <c r="E19" s="2308"/>
      <c r="F19" s="57">
        <v>0</v>
      </c>
      <c r="G19" s="176"/>
      <c r="H19" s="57">
        <v>0</v>
      </c>
      <c r="I19" s="199"/>
      <c r="J19" s="1614"/>
      <c r="K19" s="1622"/>
      <c r="L19" s="1622"/>
      <c r="M19" s="1622"/>
      <c r="N19" s="1621"/>
      <c r="O19" s="1621"/>
      <c r="P19" s="1623"/>
      <c r="Q19" s="1615"/>
    </row>
    <row r="20" spans="1:19" ht="39" customHeight="1" x14ac:dyDescent="0.25">
      <c r="A20" s="393" t="s">
        <v>453</v>
      </c>
      <c r="B20" s="2308" t="s">
        <v>478</v>
      </c>
      <c r="C20" s="2308"/>
      <c r="D20" s="2308"/>
      <c r="E20" s="2308"/>
      <c r="F20" s="57">
        <v>0</v>
      </c>
      <c r="G20" s="176"/>
      <c r="H20" s="57">
        <v>19202</v>
      </c>
      <c r="I20" s="199"/>
      <c r="J20" s="1624"/>
      <c r="K20" s="2311"/>
      <c r="L20" s="2311"/>
      <c r="M20" s="2311"/>
      <c r="N20" s="2311"/>
      <c r="O20" s="2311"/>
      <c r="P20" s="2311"/>
      <c r="Q20" s="2311"/>
    </row>
    <row r="21" spans="1:19" ht="47.25" customHeight="1" x14ac:dyDescent="0.25">
      <c r="A21" s="1522" t="s">
        <v>1405</v>
      </c>
      <c r="B21" s="2347" t="s">
        <v>1697</v>
      </c>
      <c r="C21" s="2347"/>
      <c r="D21" s="2347"/>
      <c r="E21" s="2347"/>
      <c r="F21" s="1523">
        <v>0</v>
      </c>
      <c r="G21" s="1524"/>
      <c r="H21" s="1523">
        <v>0</v>
      </c>
      <c r="I21" s="1529"/>
      <c r="J21" s="1526"/>
      <c r="K21" s="1641"/>
      <c r="L21" s="1641"/>
      <c r="M21" s="1641"/>
      <c r="N21" s="574"/>
      <c r="O21" s="1639"/>
      <c r="P21" s="1639"/>
      <c r="Q21" s="1640"/>
    </row>
    <row r="22" spans="1:19" ht="28.9" customHeight="1" x14ac:dyDescent="0.25">
      <c r="A22" s="1530" t="s">
        <v>282</v>
      </c>
      <c r="B22" s="2312" t="s">
        <v>454</v>
      </c>
      <c r="C22" s="2312"/>
      <c r="D22" s="2312"/>
      <c r="E22" s="2312"/>
      <c r="F22" s="1525">
        <f>F23+F24+F25</f>
        <v>0</v>
      </c>
      <c r="G22" s="251" t="e">
        <f>F22/$F$7</f>
        <v>#DIV/0!</v>
      </c>
      <c r="H22" s="1525">
        <f>H23+H24+H25</f>
        <v>117296</v>
      </c>
      <c r="I22" s="252">
        <f>H22/$H$7</f>
        <v>5.0817450172397473E-3</v>
      </c>
      <c r="J22" s="1527"/>
      <c r="K22" s="632"/>
      <c r="L22" s="632"/>
      <c r="M22" s="632"/>
      <c r="N22" s="574"/>
      <c r="O22" s="1639"/>
      <c r="P22" s="1639"/>
      <c r="Q22" s="1640"/>
    </row>
    <row r="23" spans="1:19" ht="44.25" customHeight="1" x14ac:dyDescent="0.25">
      <c r="A23" s="390" t="s">
        <v>463</v>
      </c>
      <c r="B23" s="2308" t="s">
        <v>481</v>
      </c>
      <c r="C23" s="2308"/>
      <c r="D23" s="2308"/>
      <c r="E23" s="2308"/>
      <c r="F23" s="253">
        <v>0</v>
      </c>
      <c r="G23" s="176"/>
      <c r="H23" s="992">
        <f>89013-21898-21500+50181</f>
        <v>95796</v>
      </c>
      <c r="I23" s="199"/>
      <c r="J23" s="1528"/>
      <c r="K23" s="1528"/>
      <c r="L23" s="1528"/>
      <c r="M23" s="1528"/>
    </row>
    <row r="24" spans="1:19" ht="46.5" customHeight="1" x14ac:dyDescent="0.25">
      <c r="A24" s="390" t="s">
        <v>464</v>
      </c>
      <c r="B24" s="2308" t="s">
        <v>480</v>
      </c>
      <c r="C24" s="2308"/>
      <c r="D24" s="2308"/>
      <c r="E24" s="2308"/>
      <c r="F24" s="253">
        <v>0</v>
      </c>
      <c r="G24" s="176"/>
      <c r="H24" s="992">
        <v>21500</v>
      </c>
      <c r="I24" s="199"/>
      <c r="J24" s="119"/>
      <c r="K24" s="338"/>
      <c r="L24" s="338"/>
      <c r="M24" s="1626"/>
      <c r="N24" s="2332"/>
      <c r="O24" s="2332"/>
      <c r="P24" s="1625"/>
      <c r="Q24" s="1600"/>
    </row>
    <row r="25" spans="1:19" ht="28.9" customHeight="1" thickBot="1" x14ac:dyDescent="0.3">
      <c r="A25" s="813" t="s">
        <v>465</v>
      </c>
      <c r="B25" s="2339" t="s">
        <v>473</v>
      </c>
      <c r="C25" s="2339"/>
      <c r="D25" s="2339"/>
      <c r="E25" s="2339"/>
      <c r="F25" s="200">
        <v>0</v>
      </c>
      <c r="G25" s="201"/>
      <c r="H25" s="1019">
        <v>0</v>
      </c>
      <c r="I25" s="1531"/>
      <c r="J25" s="119"/>
      <c r="K25" s="1627"/>
      <c r="L25" s="1627"/>
      <c r="M25" s="1628"/>
      <c r="N25" s="2333"/>
      <c r="O25" s="2333"/>
      <c r="P25" s="1629"/>
      <c r="Q25" s="1600"/>
    </row>
    <row r="26" spans="1:19" ht="48" customHeight="1" thickBot="1" x14ac:dyDescent="0.3">
      <c r="A26" s="2310" t="s">
        <v>517</v>
      </c>
      <c r="B26" s="2310"/>
      <c r="C26" s="2310"/>
      <c r="D26" s="163"/>
      <c r="E26" s="163"/>
      <c r="F26" s="163"/>
      <c r="G26" s="163"/>
      <c r="H26" s="163"/>
      <c r="I26" s="163"/>
      <c r="J26" s="1532"/>
      <c r="K26" s="1532"/>
      <c r="L26" s="1532"/>
      <c r="M26" s="1532"/>
      <c r="N26" s="2"/>
      <c r="O26" s="2329"/>
      <c r="P26" s="2329"/>
      <c r="Q26" s="2329"/>
      <c r="R26" s="2329"/>
      <c r="S26" s="2329"/>
    </row>
    <row r="27" spans="1:19" ht="48" customHeight="1" x14ac:dyDescent="0.25">
      <c r="A27" s="1511" t="s">
        <v>6</v>
      </c>
      <c r="B27" s="2204" t="s">
        <v>186</v>
      </c>
      <c r="C27" s="2204"/>
      <c r="D27" s="2204"/>
      <c r="E27" s="2204"/>
      <c r="F27" s="1514" t="s">
        <v>87</v>
      </c>
      <c r="G27" s="59" t="s">
        <v>297</v>
      </c>
      <c r="H27" s="1514" t="s">
        <v>8</v>
      </c>
      <c r="I27" s="60" t="s">
        <v>297</v>
      </c>
      <c r="J27" s="1533"/>
      <c r="K27" s="89"/>
      <c r="L27" s="89"/>
      <c r="M27" s="89"/>
      <c r="N27" s="96"/>
      <c r="O27" s="96"/>
      <c r="P27" s="96"/>
      <c r="Q27" s="97"/>
      <c r="R27" s="87"/>
      <c r="S27" s="98"/>
    </row>
    <row r="28" spans="1:19" ht="19.350000000000001" customHeight="1" x14ac:dyDescent="0.25">
      <c r="A28" s="1512">
        <v>1</v>
      </c>
      <c r="B28" s="2186">
        <v>2</v>
      </c>
      <c r="C28" s="2186"/>
      <c r="D28" s="2186"/>
      <c r="E28" s="2186"/>
      <c r="F28" s="50">
        <v>3</v>
      </c>
      <c r="G28" s="50">
        <v>4</v>
      </c>
      <c r="H28" s="50">
        <v>5</v>
      </c>
      <c r="I28" s="1538">
        <v>6</v>
      </c>
      <c r="J28" s="89"/>
      <c r="K28" s="89"/>
      <c r="L28" s="89"/>
      <c r="M28" s="89"/>
      <c r="N28" s="96"/>
      <c r="O28" s="96"/>
      <c r="P28" s="96"/>
      <c r="Q28" s="97"/>
      <c r="R28" s="87"/>
      <c r="S28" s="98"/>
    </row>
    <row r="29" spans="1:19" ht="28.9" customHeight="1" x14ac:dyDescent="0.3">
      <c r="A29" s="394" t="s">
        <v>268</v>
      </c>
      <c r="B29" s="2312" t="s">
        <v>227</v>
      </c>
      <c r="C29" s="2312"/>
      <c r="D29" s="2312"/>
      <c r="E29" s="2312"/>
      <c r="F29" s="108">
        <f>F30+F31+F32</f>
        <v>0</v>
      </c>
      <c r="G29" s="105" t="e">
        <f>G30+G31+G32</f>
        <v>#DIV/0!</v>
      </c>
      <c r="H29" s="108">
        <f>H30+H31+H32</f>
        <v>0</v>
      </c>
      <c r="I29" s="107" t="e">
        <f>I30+I31+I32</f>
        <v>#DIV/0!</v>
      </c>
      <c r="J29" s="89"/>
      <c r="K29" s="89"/>
      <c r="L29" s="89"/>
      <c r="M29" s="89"/>
      <c r="N29" s="96"/>
      <c r="O29" s="96"/>
      <c r="P29" s="96"/>
      <c r="Q29" s="97"/>
      <c r="R29" s="87"/>
      <c r="S29" s="98"/>
    </row>
    <row r="30" spans="1:19" ht="28.9" customHeight="1" x14ac:dyDescent="0.3">
      <c r="A30" s="394" t="s">
        <v>269</v>
      </c>
      <c r="B30" s="2338" t="s">
        <v>265</v>
      </c>
      <c r="C30" s="2338"/>
      <c r="D30" s="2338"/>
      <c r="E30" s="2338"/>
      <c r="F30" s="58">
        <v>0</v>
      </c>
      <c r="G30" s="105" t="e">
        <f>F30/$F$29</f>
        <v>#DIV/0!</v>
      </c>
      <c r="H30" s="58">
        <v>0</v>
      </c>
      <c r="I30" s="107" t="e">
        <f>H30/$H$29</f>
        <v>#DIV/0!</v>
      </c>
      <c r="J30" s="89"/>
      <c r="K30" s="89"/>
      <c r="L30" s="89"/>
      <c r="M30" s="89"/>
      <c r="N30" s="96"/>
      <c r="O30" s="96"/>
      <c r="P30" s="96"/>
      <c r="Q30" s="97"/>
      <c r="R30" s="87"/>
      <c r="S30" s="98"/>
    </row>
    <row r="31" spans="1:19" ht="28.9" customHeight="1" x14ac:dyDescent="0.3">
      <c r="A31" s="394" t="s">
        <v>270</v>
      </c>
      <c r="B31" s="2338" t="s">
        <v>266</v>
      </c>
      <c r="C31" s="2338"/>
      <c r="D31" s="2338"/>
      <c r="E31" s="2338"/>
      <c r="F31" s="58">
        <v>0</v>
      </c>
      <c r="G31" s="105" t="e">
        <f>F31/$F$29</f>
        <v>#DIV/0!</v>
      </c>
      <c r="H31" s="58">
        <v>0</v>
      </c>
      <c r="I31" s="107" t="e">
        <f>H31/$H$29</f>
        <v>#DIV/0!</v>
      </c>
      <c r="J31" s="89"/>
      <c r="K31" s="89"/>
      <c r="L31" s="89"/>
      <c r="M31" s="89"/>
      <c r="N31" s="96"/>
      <c r="O31" s="96"/>
      <c r="P31" s="96"/>
      <c r="Q31" s="97"/>
      <c r="R31" s="87"/>
      <c r="S31" s="98"/>
    </row>
    <row r="32" spans="1:19" ht="28.9" customHeight="1" thickBot="1" x14ac:dyDescent="0.35">
      <c r="A32" s="395" t="s">
        <v>271</v>
      </c>
      <c r="B32" s="2341" t="s">
        <v>267</v>
      </c>
      <c r="C32" s="2341"/>
      <c r="D32" s="2341"/>
      <c r="E32" s="2341"/>
      <c r="F32" s="62">
        <v>0</v>
      </c>
      <c r="G32" s="106" t="e">
        <f>F32/$F$29</f>
        <v>#DIV/0!</v>
      </c>
      <c r="H32" s="62">
        <v>0</v>
      </c>
      <c r="I32" s="1539" t="e">
        <f>H32/$H$29</f>
        <v>#DIV/0!</v>
      </c>
      <c r="J32" s="89"/>
      <c r="K32" s="1533"/>
      <c r="L32" s="1533"/>
      <c r="M32" s="89"/>
      <c r="N32" s="1534"/>
      <c r="O32" s="99"/>
      <c r="P32" s="99"/>
      <c r="Q32" s="81"/>
      <c r="R32" s="81"/>
      <c r="S32" s="100"/>
    </row>
    <row r="33" spans="1:40" s="9" customFormat="1" ht="33.6" customHeight="1" thickBot="1" x14ac:dyDescent="0.35">
      <c r="A33" s="80" t="s">
        <v>518</v>
      </c>
      <c r="D33" s="46"/>
      <c r="E33" s="46"/>
      <c r="F33" s="46"/>
      <c r="G33" s="46"/>
      <c r="H33" s="46"/>
      <c r="I33" s="46"/>
      <c r="J33" s="1535"/>
      <c r="K33" s="1536"/>
      <c r="L33" s="1536"/>
      <c r="M33" s="1536"/>
      <c r="N33" s="1537"/>
      <c r="O33" s="99"/>
      <c r="P33" s="99"/>
      <c r="Q33" s="81"/>
      <c r="R33" s="81"/>
      <c r="S33" s="100"/>
      <c r="T33" s="81"/>
      <c r="U33" s="81"/>
      <c r="V33" s="81"/>
      <c r="W33" s="81"/>
      <c r="X33" s="81"/>
      <c r="Y33" s="81"/>
      <c r="Z33" s="81"/>
      <c r="AA33" s="81"/>
      <c r="AB33" s="81"/>
      <c r="AC33" s="81"/>
      <c r="AD33" s="81"/>
      <c r="AE33" s="81"/>
      <c r="AF33" s="81"/>
      <c r="AG33" s="81"/>
      <c r="AH33" s="81"/>
      <c r="AI33" s="81"/>
      <c r="AJ33" s="81"/>
      <c r="AK33" s="81"/>
      <c r="AL33" s="81"/>
      <c r="AM33" s="81"/>
      <c r="AN33" s="81"/>
    </row>
    <row r="34" spans="1:40" s="9" customFormat="1" ht="73.349999999999994" customHeight="1" x14ac:dyDescent="0.25">
      <c r="A34" s="2203" t="s">
        <v>264</v>
      </c>
      <c r="B34" s="2204" t="s">
        <v>186</v>
      </c>
      <c r="C34" s="2204"/>
      <c r="D34" s="2349" t="s">
        <v>276</v>
      </c>
      <c r="E34" s="2349"/>
      <c r="F34" s="2330" t="s">
        <v>293</v>
      </c>
      <c r="G34" s="2330"/>
      <c r="H34" s="2330" t="s">
        <v>294</v>
      </c>
      <c r="I34" s="2330"/>
      <c r="J34" s="2330" t="s">
        <v>263</v>
      </c>
      <c r="K34" s="2330"/>
      <c r="L34" s="2336" t="s">
        <v>788</v>
      </c>
      <c r="M34" s="2337"/>
      <c r="N34" s="2327" t="s">
        <v>1191</v>
      </c>
      <c r="O34" s="2328"/>
      <c r="P34" s="2330" t="s">
        <v>434</v>
      </c>
      <c r="Q34" s="2331"/>
      <c r="S34" s="405"/>
      <c r="T34" s="81"/>
      <c r="U34" s="81"/>
      <c r="V34" s="81"/>
      <c r="W34" s="81"/>
      <c r="X34" s="81"/>
      <c r="Y34" s="81"/>
      <c r="Z34" s="81"/>
      <c r="AA34" s="81"/>
      <c r="AB34" s="81"/>
      <c r="AC34" s="81"/>
      <c r="AD34" s="81"/>
      <c r="AE34" s="81"/>
      <c r="AF34" s="81"/>
      <c r="AG34" s="81"/>
      <c r="AH34" s="81"/>
      <c r="AI34" s="81"/>
      <c r="AJ34" s="81"/>
      <c r="AK34" s="81"/>
      <c r="AL34" s="81"/>
      <c r="AM34" s="81"/>
      <c r="AN34" s="81"/>
    </row>
    <row r="35" spans="1:40" s="9" customFormat="1" ht="48.6" customHeight="1" x14ac:dyDescent="0.25">
      <c r="A35" s="2266"/>
      <c r="B35" s="2186"/>
      <c r="C35" s="2186"/>
      <c r="D35" s="47" t="s">
        <v>87</v>
      </c>
      <c r="E35" s="47" t="s">
        <v>8</v>
      </c>
      <c r="F35" s="47" t="s">
        <v>87</v>
      </c>
      <c r="G35" s="47" t="s">
        <v>8</v>
      </c>
      <c r="H35" s="47" t="s">
        <v>87</v>
      </c>
      <c r="I35" s="47" t="s">
        <v>8</v>
      </c>
      <c r="J35" s="47" t="s">
        <v>87</v>
      </c>
      <c r="K35" s="47" t="s">
        <v>8</v>
      </c>
      <c r="L35" s="47" t="s">
        <v>87</v>
      </c>
      <c r="M35" s="47" t="s">
        <v>8</v>
      </c>
      <c r="N35" s="1517" t="s">
        <v>87</v>
      </c>
      <c r="O35" s="1517" t="s">
        <v>8</v>
      </c>
      <c r="P35" s="1517" t="s">
        <v>87</v>
      </c>
      <c r="Q35" s="1518" t="s">
        <v>8</v>
      </c>
      <c r="S35" s="406"/>
      <c r="T35" s="81"/>
      <c r="U35" s="81"/>
      <c r="V35" s="81"/>
      <c r="W35" s="81"/>
      <c r="X35" s="81"/>
      <c r="Y35" s="81"/>
      <c r="Z35" s="81"/>
      <c r="AA35" s="81"/>
      <c r="AB35" s="81"/>
      <c r="AC35" s="81"/>
      <c r="AD35" s="81"/>
      <c r="AE35" s="81"/>
      <c r="AF35" s="81"/>
      <c r="AG35" s="81"/>
      <c r="AH35" s="81"/>
      <c r="AI35" s="81"/>
      <c r="AJ35" s="81"/>
      <c r="AK35" s="81"/>
      <c r="AL35" s="81"/>
      <c r="AM35" s="81"/>
      <c r="AN35" s="81"/>
    </row>
    <row r="36" spans="1:40" s="25" customFormat="1" ht="25.5" customHeight="1" x14ac:dyDescent="0.25">
      <c r="A36" s="1024" t="s">
        <v>277</v>
      </c>
      <c r="B36" s="2352">
        <v>2</v>
      </c>
      <c r="C36" s="2352"/>
      <c r="D36" s="623">
        <v>3</v>
      </c>
      <c r="E36" s="623">
        <v>4</v>
      </c>
      <c r="F36" s="623">
        <v>6</v>
      </c>
      <c r="G36" s="623">
        <v>7</v>
      </c>
      <c r="H36" s="623">
        <v>9</v>
      </c>
      <c r="I36" s="623">
        <v>10</v>
      </c>
      <c r="J36" s="623">
        <v>11</v>
      </c>
      <c r="K36" s="623">
        <v>12</v>
      </c>
      <c r="L36" s="623">
        <v>13</v>
      </c>
      <c r="M36" s="623">
        <v>14</v>
      </c>
      <c r="N36" s="623">
        <v>15</v>
      </c>
      <c r="O36" s="623">
        <v>16</v>
      </c>
      <c r="P36" s="623">
        <v>17</v>
      </c>
      <c r="Q36" s="1025">
        <v>18</v>
      </c>
      <c r="S36" s="407"/>
      <c r="T36" s="94"/>
      <c r="U36" s="94"/>
      <c r="V36" s="94"/>
      <c r="W36" s="94"/>
      <c r="X36" s="94"/>
      <c r="Y36" s="94"/>
      <c r="Z36" s="94"/>
      <c r="AA36" s="94"/>
      <c r="AB36" s="94"/>
      <c r="AC36" s="94"/>
      <c r="AD36" s="94"/>
      <c r="AE36" s="94"/>
      <c r="AF36" s="94"/>
      <c r="AG36" s="94"/>
      <c r="AH36" s="94"/>
      <c r="AI36" s="94"/>
      <c r="AJ36" s="94"/>
      <c r="AK36" s="94"/>
      <c r="AL36" s="94"/>
      <c r="AM36" s="94"/>
      <c r="AN36" s="94"/>
    </row>
    <row r="37" spans="1:40" s="9" customFormat="1" ht="25.35" customHeight="1" x14ac:dyDescent="0.3">
      <c r="A37" s="1516" t="s">
        <v>158</v>
      </c>
      <c r="B37" s="2312" t="s">
        <v>280</v>
      </c>
      <c r="C37" s="2312"/>
      <c r="D37" s="48">
        <f>D38+D92</f>
        <v>0</v>
      </c>
      <c r="E37" s="48">
        <f>E38+E92</f>
        <v>32998630</v>
      </c>
      <c r="F37" s="205" t="s">
        <v>296</v>
      </c>
      <c r="G37" s="205" t="s">
        <v>296</v>
      </c>
      <c r="H37" s="205" t="s">
        <v>296</v>
      </c>
      <c r="I37" s="205" t="s">
        <v>296</v>
      </c>
      <c r="J37" s="205" t="s">
        <v>296</v>
      </c>
      <c r="K37" s="205" t="s">
        <v>296</v>
      </c>
      <c r="L37" s="205" t="s">
        <v>296</v>
      </c>
      <c r="M37" s="205" t="s">
        <v>296</v>
      </c>
      <c r="N37" s="205" t="s">
        <v>296</v>
      </c>
      <c r="O37" s="205" t="s">
        <v>296</v>
      </c>
      <c r="P37" s="205" t="s">
        <v>296</v>
      </c>
      <c r="Q37" s="401" t="s">
        <v>296</v>
      </c>
      <c r="R37" s="1578"/>
      <c r="S37" s="408"/>
      <c r="T37" s="81"/>
      <c r="U37" s="81"/>
      <c r="V37" s="81"/>
      <c r="W37" s="81"/>
      <c r="X37" s="81"/>
      <c r="Y37" s="81"/>
      <c r="Z37" s="81"/>
      <c r="AA37" s="81"/>
      <c r="AB37" s="81"/>
      <c r="AC37" s="81"/>
      <c r="AD37" s="81"/>
      <c r="AE37" s="81"/>
      <c r="AF37" s="81"/>
      <c r="AG37" s="81"/>
      <c r="AH37" s="81"/>
      <c r="AI37" s="81"/>
      <c r="AJ37" s="81"/>
      <c r="AK37" s="81"/>
      <c r="AL37" s="81"/>
      <c r="AM37" s="81"/>
      <c r="AN37" s="81"/>
    </row>
    <row r="38" spans="1:40" s="9" customFormat="1" ht="25.35" customHeight="1" x14ac:dyDescent="0.3">
      <c r="A38" s="1516" t="s">
        <v>159</v>
      </c>
      <c r="B38" s="2312" t="s">
        <v>1192</v>
      </c>
      <c r="C38" s="2312"/>
      <c r="D38" s="48">
        <f>SUM(F38,J38,N38,P38,L38)</f>
        <v>0</v>
      </c>
      <c r="E38" s="48">
        <f>SUM(G38,K38,O38,Q38,M38)</f>
        <v>32998630</v>
      </c>
      <c r="F38" s="48">
        <f t="shared" ref="F38:K38" si="0">SUM(F39,F40,F42,F66,F41)</f>
        <v>0</v>
      </c>
      <c r="G38" s="48">
        <f t="shared" si="0"/>
        <v>22559737</v>
      </c>
      <c r="H38" s="48">
        <f t="shared" si="0"/>
        <v>0</v>
      </c>
      <c r="I38" s="48">
        <f t="shared" si="0"/>
        <v>0</v>
      </c>
      <c r="J38" s="48">
        <f t="shared" si="0"/>
        <v>0</v>
      </c>
      <c r="K38" s="48">
        <f t="shared" si="0"/>
        <v>1789865</v>
      </c>
      <c r="L38" s="48">
        <f>SUM(L39,L40,L42,L66,L41,)</f>
        <v>0</v>
      </c>
      <c r="M38" s="48">
        <f>SUM(M39,M40,M42,M66,M41)</f>
        <v>0</v>
      </c>
      <c r="N38" s="48">
        <f>SUM(N39,N40,N42,N66,N41)</f>
        <v>0</v>
      </c>
      <c r="O38" s="48">
        <f>SUM(O39,O40,O42,O66,O41)</f>
        <v>8649028</v>
      </c>
      <c r="P38" s="48">
        <f>SUM(P39,P40,P42,P66,P41)</f>
        <v>0</v>
      </c>
      <c r="Q38" s="221">
        <f>SUM(Q39,Q40,Q42,Q66,Q41)</f>
        <v>0</v>
      </c>
      <c r="R38" s="1577"/>
      <c r="S38" s="1579"/>
      <c r="T38" s="81"/>
      <c r="U38" s="81"/>
      <c r="V38" s="81"/>
      <c r="W38" s="81"/>
      <c r="X38" s="81"/>
      <c r="Y38" s="81"/>
      <c r="Z38" s="81"/>
      <c r="AA38" s="81"/>
      <c r="AB38" s="81"/>
      <c r="AC38" s="81"/>
      <c r="AD38" s="81"/>
      <c r="AE38" s="81"/>
      <c r="AF38" s="81"/>
      <c r="AG38" s="81"/>
      <c r="AH38" s="81"/>
      <c r="AI38" s="81"/>
      <c r="AJ38" s="81"/>
      <c r="AK38" s="81"/>
      <c r="AL38" s="81"/>
      <c r="AM38" s="81"/>
      <c r="AN38" s="81"/>
    </row>
    <row r="39" spans="1:40" s="9" customFormat="1" ht="25.35" customHeight="1" thickBot="1" x14ac:dyDescent="0.35">
      <c r="A39" s="402" t="s">
        <v>160</v>
      </c>
      <c r="B39" s="2348" t="s">
        <v>152</v>
      </c>
      <c r="C39" s="2348"/>
      <c r="D39" s="162">
        <f t="shared" ref="D39:D91" si="1">SUM(F39,J39,N39,P39,L39)</f>
        <v>0</v>
      </c>
      <c r="E39" s="162">
        <f t="shared" ref="E39:E91" si="2">SUM(G39,K39,O39,Q39,M39)</f>
        <v>16891504</v>
      </c>
      <c r="F39" s="207">
        <v>0</v>
      </c>
      <c r="G39" s="207">
        <v>15435982</v>
      </c>
      <c r="H39" s="207">
        <v>0</v>
      </c>
      <c r="I39" s="207">
        <v>0</v>
      </c>
      <c r="J39" s="207">
        <v>0</v>
      </c>
      <c r="K39" s="207">
        <v>1455522</v>
      </c>
      <c r="L39" s="207">
        <v>0</v>
      </c>
      <c r="M39" s="207">
        <v>0</v>
      </c>
      <c r="N39" s="207">
        <v>0</v>
      </c>
      <c r="O39" s="207">
        <v>0</v>
      </c>
      <c r="P39" s="207">
        <v>0</v>
      </c>
      <c r="Q39" s="397">
        <v>0</v>
      </c>
      <c r="S39" s="166"/>
      <c r="T39" s="81"/>
      <c r="U39" s="81"/>
      <c r="V39" s="81"/>
      <c r="W39" s="81"/>
      <c r="X39" s="81"/>
      <c r="Y39" s="81"/>
      <c r="Z39" s="81"/>
      <c r="AA39" s="81"/>
      <c r="AB39" s="81"/>
      <c r="AC39" s="81"/>
      <c r="AD39" s="81"/>
      <c r="AE39" s="81"/>
      <c r="AF39" s="81"/>
      <c r="AG39" s="81"/>
      <c r="AH39" s="81"/>
      <c r="AI39" s="81"/>
      <c r="AJ39" s="81"/>
      <c r="AK39" s="81"/>
      <c r="AL39" s="81"/>
      <c r="AM39" s="81"/>
      <c r="AN39" s="81"/>
    </row>
    <row r="40" spans="1:40" s="9" customFormat="1" ht="25.35" customHeight="1" x14ac:dyDescent="0.3">
      <c r="A40" s="402" t="s">
        <v>166</v>
      </c>
      <c r="B40" s="2348" t="s">
        <v>18</v>
      </c>
      <c r="C40" s="2348"/>
      <c r="D40" s="162">
        <f t="shared" si="1"/>
        <v>0</v>
      </c>
      <c r="E40" s="162">
        <f>SUM(G40,K40,O40,Q40,M40)</f>
        <v>3761579</v>
      </c>
      <c r="F40" s="207">
        <v>0</v>
      </c>
      <c r="G40" s="207">
        <v>3427236</v>
      </c>
      <c r="H40" s="207">
        <v>0</v>
      </c>
      <c r="I40" s="207">
        <v>0</v>
      </c>
      <c r="J40" s="207">
        <v>0</v>
      </c>
      <c r="K40" s="207">
        <v>334343</v>
      </c>
      <c r="L40" s="207">
        <v>0</v>
      </c>
      <c r="M40" s="207">
        <v>0</v>
      </c>
      <c r="N40" s="207">
        <v>0</v>
      </c>
      <c r="O40" s="207">
        <v>0</v>
      </c>
      <c r="P40" s="207">
        <v>0</v>
      </c>
      <c r="Q40" s="397">
        <v>0</v>
      </c>
      <c r="S40" s="2319" t="s">
        <v>789</v>
      </c>
      <c r="T40" s="2320"/>
      <c r="U40" s="2320"/>
      <c r="V40" s="2320"/>
      <c r="W40" s="2320"/>
      <c r="X40" s="2320"/>
      <c r="Y40" s="2320"/>
      <c r="Z40" s="2320"/>
      <c r="AA40" s="2320"/>
      <c r="AB40" s="2320"/>
      <c r="AC40" s="2320"/>
      <c r="AD40" s="2321"/>
      <c r="AE40" s="81"/>
      <c r="AF40" s="81"/>
      <c r="AG40" s="81"/>
      <c r="AH40" s="81"/>
      <c r="AI40" s="81"/>
      <c r="AJ40" s="81"/>
      <c r="AK40" s="81"/>
      <c r="AL40" s="81"/>
      <c r="AM40" s="81"/>
      <c r="AN40" s="81"/>
    </row>
    <row r="41" spans="1:40" s="9" customFormat="1" ht="25.35" customHeight="1" thickBot="1" x14ac:dyDescent="0.35">
      <c r="A41" s="403" t="s">
        <v>167</v>
      </c>
      <c r="B41" s="2341" t="s">
        <v>1252</v>
      </c>
      <c r="C41" s="2341"/>
      <c r="D41" s="1022">
        <f t="shared" si="1"/>
        <v>0</v>
      </c>
      <c r="E41" s="1022">
        <f t="shared" si="2"/>
        <v>0</v>
      </c>
      <c r="F41" s="62">
        <v>0</v>
      </c>
      <c r="G41" s="62">
        <v>0</v>
      </c>
      <c r="H41" s="404" t="s">
        <v>296</v>
      </c>
      <c r="I41" s="404" t="s">
        <v>296</v>
      </c>
      <c r="J41" s="62">
        <v>0</v>
      </c>
      <c r="K41" s="62">
        <v>0</v>
      </c>
      <c r="L41" s="62">
        <v>0</v>
      </c>
      <c r="M41" s="62">
        <v>0</v>
      </c>
      <c r="N41" s="62">
        <v>0</v>
      </c>
      <c r="O41" s="62">
        <v>0</v>
      </c>
      <c r="P41" s="62">
        <v>0</v>
      </c>
      <c r="Q41" s="63">
        <v>0</v>
      </c>
      <c r="S41" s="2322" t="s">
        <v>681</v>
      </c>
      <c r="T41" s="2318"/>
      <c r="U41" s="2318">
        <v>903</v>
      </c>
      <c r="V41" s="2318"/>
      <c r="W41" s="2318">
        <v>92</v>
      </c>
      <c r="X41" s="2318"/>
      <c r="Y41" s="2318">
        <v>93</v>
      </c>
      <c r="Z41" s="2318"/>
      <c r="AA41" s="2318" t="s">
        <v>682</v>
      </c>
      <c r="AB41" s="2318"/>
      <c r="AC41" s="2318">
        <v>94</v>
      </c>
      <c r="AD41" s="2323"/>
      <c r="AE41" s="81"/>
      <c r="AF41" s="81"/>
      <c r="AG41" s="81"/>
      <c r="AH41" s="81"/>
      <c r="AI41" s="81"/>
      <c r="AJ41" s="81"/>
      <c r="AK41" s="81"/>
      <c r="AL41" s="81"/>
      <c r="AM41" s="81"/>
      <c r="AN41" s="81"/>
    </row>
    <row r="42" spans="1:40" s="9" customFormat="1" ht="25.35" customHeight="1" thickBot="1" x14ac:dyDescent="0.35">
      <c r="A42" s="607" t="s">
        <v>168</v>
      </c>
      <c r="B42" s="2342" t="s">
        <v>19</v>
      </c>
      <c r="C42" s="2342"/>
      <c r="D42" s="608">
        <f t="shared" si="1"/>
        <v>0</v>
      </c>
      <c r="E42" s="608">
        <f t="shared" si="2"/>
        <v>10437606</v>
      </c>
      <c r="F42" s="608">
        <f t="shared" ref="F42:N42" si="3">SUM(F43,F52,F51,F53,F54,F55,F56,F57,F50,F58,F65)</f>
        <v>0</v>
      </c>
      <c r="G42" s="608">
        <f>SUM(G43,G52,G51,G53,G54,G55,G56,G57,G50,G58,G65)</f>
        <v>1788578</v>
      </c>
      <c r="H42" s="608">
        <f t="shared" si="3"/>
        <v>0</v>
      </c>
      <c r="I42" s="608">
        <f t="shared" si="3"/>
        <v>0</v>
      </c>
      <c r="J42" s="608">
        <f>SUM(J43,J52,J51,J53,J54,J55,J56,J57,J50,J58,J65)</f>
        <v>0</v>
      </c>
      <c r="K42" s="608">
        <f t="shared" si="3"/>
        <v>0</v>
      </c>
      <c r="L42" s="608">
        <f>SUM(L43,L52,L51,L53,L54,L55,L56,L57,L50,L58,L65)</f>
        <v>0</v>
      </c>
      <c r="M42" s="608">
        <f t="shared" si="3"/>
        <v>0</v>
      </c>
      <c r="N42" s="608">
        <f t="shared" si="3"/>
        <v>0</v>
      </c>
      <c r="O42" s="608">
        <f>SUM(O43,O52,O51,O53,O54,O55,O56,O57,O50,O58,O65)</f>
        <v>8649028</v>
      </c>
      <c r="P42" s="608">
        <f>SUM(P43,P52,P51,P53,P54,P55,P56,P57,P50,P58,P65)</f>
        <v>0</v>
      </c>
      <c r="Q42" s="608">
        <f>SUM(Q43,Q52,Q51,Q53,Q54,Q55,Q56,Q57,Q50,Q58,Q65)</f>
        <v>0</v>
      </c>
      <c r="S42" s="409">
        <f>D42-D58-D55</f>
        <v>0</v>
      </c>
      <c r="T42" s="410">
        <f>E42-E58-E55</f>
        <v>7981282</v>
      </c>
      <c r="U42" s="410">
        <f>F42-F58-F55</f>
        <v>0</v>
      </c>
      <c r="V42" s="411">
        <f>G42-G58-G55</f>
        <v>1788578</v>
      </c>
      <c r="W42" s="410">
        <f t="shared" ref="W42:AC42" si="4">J42-J58-J55</f>
        <v>0</v>
      </c>
      <c r="X42" s="411">
        <f>K42-K58-K55</f>
        <v>0</v>
      </c>
      <c r="Y42" s="410">
        <f t="shared" si="4"/>
        <v>0</v>
      </c>
      <c r="Z42" s="411">
        <f t="shared" si="4"/>
        <v>0</v>
      </c>
      <c r="AA42" s="410">
        <f t="shared" si="4"/>
        <v>0</v>
      </c>
      <c r="AB42" s="410">
        <f>O42-O58-O55</f>
        <v>6192704</v>
      </c>
      <c r="AC42" s="410">
        <f t="shared" si="4"/>
        <v>0</v>
      </c>
      <c r="AD42" s="412">
        <f>Q42-Q58-Q55</f>
        <v>0</v>
      </c>
      <c r="AE42" s="81"/>
      <c r="AF42" s="81"/>
      <c r="AG42" s="81"/>
      <c r="AH42" s="81"/>
      <c r="AI42" s="81"/>
      <c r="AJ42" s="81"/>
      <c r="AK42" s="81"/>
      <c r="AL42" s="81"/>
      <c r="AM42" s="81"/>
      <c r="AN42" s="81"/>
    </row>
    <row r="43" spans="1:40" s="9" customFormat="1" ht="25.35" customHeight="1" x14ac:dyDescent="0.3">
      <c r="A43" s="610" t="s">
        <v>169</v>
      </c>
      <c r="B43" s="2350" t="s">
        <v>174</v>
      </c>
      <c r="C43" s="2350"/>
      <c r="D43" s="209">
        <f>SUM(F43,J43,N43,P43,L43)</f>
        <v>0</v>
      </c>
      <c r="E43" s="209">
        <f>SUM(G43,K43,O43,Q43,M43)</f>
        <v>6851801</v>
      </c>
      <c r="F43" s="209">
        <f t="shared" ref="F43:O43" si="5">SUM(F44:F49)</f>
        <v>0</v>
      </c>
      <c r="G43" s="209">
        <f>SUM(G44:G49)</f>
        <v>1069167</v>
      </c>
      <c r="H43" s="209">
        <f t="shared" si="5"/>
        <v>0</v>
      </c>
      <c r="I43" s="209">
        <f t="shared" si="5"/>
        <v>0</v>
      </c>
      <c r="J43" s="209">
        <f>SUM(J44:J49)</f>
        <v>0</v>
      </c>
      <c r="K43" s="209">
        <f>SUM(K44:K49)</f>
        <v>0</v>
      </c>
      <c r="L43" s="209">
        <f>SUM(L44:L49)</f>
        <v>0</v>
      </c>
      <c r="M43" s="209">
        <f>SUM(M44:M49)</f>
        <v>0</v>
      </c>
      <c r="N43" s="209">
        <f t="shared" si="5"/>
        <v>0</v>
      </c>
      <c r="O43" s="209">
        <f t="shared" si="5"/>
        <v>5782634</v>
      </c>
      <c r="P43" s="209">
        <f>SUM(P44:P49)</f>
        <v>0</v>
      </c>
      <c r="Q43" s="209">
        <f>SUM(Q44:Q49)</f>
        <v>0</v>
      </c>
      <c r="S43" s="413">
        <f>U42+W42+Y42+AA42+AC42</f>
        <v>0</v>
      </c>
      <c r="T43" s="413">
        <f>V42+X42+Z42+AB42+AD42</f>
        <v>7981282</v>
      </c>
      <c r="U43" s="414"/>
      <c r="V43" s="414"/>
      <c r="W43" s="414"/>
      <c r="X43" s="414"/>
      <c r="Y43" s="414"/>
      <c r="Z43" s="414"/>
      <c r="AA43" s="414"/>
      <c r="AB43" s="414"/>
      <c r="AC43" s="414"/>
      <c r="AD43" s="414"/>
      <c r="AE43" s="81"/>
      <c r="AF43" s="81"/>
      <c r="AG43" s="81"/>
      <c r="AH43" s="81"/>
      <c r="AI43" s="81"/>
      <c r="AJ43" s="81"/>
      <c r="AK43" s="81"/>
      <c r="AL43" s="81"/>
      <c r="AM43" s="81"/>
      <c r="AN43" s="81"/>
    </row>
    <row r="44" spans="1:40" s="9" customFormat="1" ht="21.75" customHeight="1" thickBot="1" x14ac:dyDescent="0.35">
      <c r="A44" s="937" t="s">
        <v>170</v>
      </c>
      <c r="B44" s="2351" t="s">
        <v>20</v>
      </c>
      <c r="C44" s="2351"/>
      <c r="D44" s="162">
        <f t="shared" si="1"/>
        <v>0</v>
      </c>
      <c r="E44" s="162">
        <f t="shared" si="2"/>
        <v>6720716</v>
      </c>
      <c r="F44" s="58">
        <v>0</v>
      </c>
      <c r="G44" s="58">
        <f>2102331-1148272</f>
        <v>954059</v>
      </c>
      <c r="H44" s="58">
        <v>0</v>
      </c>
      <c r="I44" s="58">
        <v>0</v>
      </c>
      <c r="J44" s="204" t="s">
        <v>296</v>
      </c>
      <c r="K44" s="204" t="s">
        <v>296</v>
      </c>
      <c r="L44" s="204" t="s">
        <v>296</v>
      </c>
      <c r="M44" s="204" t="s">
        <v>296</v>
      </c>
      <c r="N44" s="58">
        <v>0</v>
      </c>
      <c r="O44" s="58">
        <v>5766657</v>
      </c>
      <c r="P44" s="204" t="s">
        <v>296</v>
      </c>
      <c r="Q44" s="220" t="s">
        <v>296</v>
      </c>
      <c r="S44" s="415">
        <f>S43-S42</f>
        <v>0</v>
      </c>
      <c r="T44" s="415">
        <f>T43-T42</f>
        <v>0</v>
      </c>
      <c r="U44" s="414"/>
      <c r="V44" s="411">
        <f>('Звіт   4,5,6'!V42+'Звіт   4,5,6'!X42+'Звіт   4,5,6'!AD42+'Звіт   4,5,6'!Z42)/1000</f>
        <v>1788.578</v>
      </c>
      <c r="W44" s="414" t="s">
        <v>871</v>
      </c>
      <c r="X44" s="414"/>
      <c r="Y44" s="414"/>
      <c r="Z44" s="414"/>
      <c r="AA44" s="414"/>
      <c r="AB44" s="414"/>
      <c r="AC44" s="414"/>
      <c r="AD44" s="414"/>
      <c r="AE44" s="81"/>
      <c r="AF44" s="81"/>
      <c r="AG44" s="81"/>
      <c r="AH44" s="81"/>
      <c r="AI44" s="81"/>
      <c r="AJ44" s="81"/>
      <c r="AK44" s="81"/>
      <c r="AL44" s="81"/>
      <c r="AM44" s="81"/>
      <c r="AN44" s="81"/>
    </row>
    <row r="45" spans="1:40" s="9" customFormat="1" ht="27.75" customHeight="1" x14ac:dyDescent="0.3">
      <c r="A45" s="937" t="s">
        <v>171</v>
      </c>
      <c r="B45" s="2351" t="s">
        <v>1247</v>
      </c>
      <c r="C45" s="2351"/>
      <c r="D45" s="162">
        <f t="shared" ref="D45:E51" si="6">SUM(F45,J45,N45,P45,L45)</f>
        <v>0</v>
      </c>
      <c r="E45" s="162">
        <f t="shared" si="6"/>
        <v>47122</v>
      </c>
      <c r="F45" s="58">
        <v>0</v>
      </c>
      <c r="G45" s="58">
        <v>31145</v>
      </c>
      <c r="H45" s="58">
        <v>0</v>
      </c>
      <c r="I45" s="58">
        <v>0</v>
      </c>
      <c r="J45" s="204"/>
      <c r="K45" s="204"/>
      <c r="L45" s="204"/>
      <c r="M45" s="204"/>
      <c r="N45" s="58">
        <v>0</v>
      </c>
      <c r="O45" s="58">
        <v>15977</v>
      </c>
      <c r="P45" s="204"/>
      <c r="Q45" s="220"/>
      <c r="S45" s="415"/>
      <c r="T45" s="415"/>
      <c r="U45" s="414"/>
      <c r="V45" s="415"/>
      <c r="W45" s="414"/>
      <c r="X45" s="414"/>
      <c r="Y45" s="414"/>
      <c r="Z45" s="414"/>
      <c r="AA45" s="414"/>
      <c r="AB45" s="414"/>
      <c r="AC45" s="414"/>
      <c r="AD45" s="414"/>
      <c r="AE45" s="81"/>
      <c r="AF45" s="81"/>
      <c r="AG45" s="81"/>
      <c r="AH45" s="81"/>
      <c r="AI45" s="81"/>
      <c r="AJ45" s="81"/>
      <c r="AK45" s="81"/>
      <c r="AL45" s="81"/>
      <c r="AM45" s="81"/>
      <c r="AN45" s="81"/>
    </row>
    <row r="46" spans="1:40" s="9" customFormat="1" ht="83.25" customHeight="1" x14ac:dyDescent="0.3">
      <c r="A46" s="937" t="s">
        <v>172</v>
      </c>
      <c r="B46" s="2351" t="s">
        <v>92</v>
      </c>
      <c r="C46" s="2351"/>
      <c r="D46" s="162">
        <f t="shared" si="6"/>
        <v>0</v>
      </c>
      <c r="E46" s="162">
        <f t="shared" si="6"/>
        <v>0</v>
      </c>
      <c r="F46" s="58">
        <v>0</v>
      </c>
      <c r="G46" s="58">
        <v>0</v>
      </c>
      <c r="H46" s="58">
        <v>0</v>
      </c>
      <c r="I46" s="58">
        <v>0</v>
      </c>
      <c r="J46" s="204" t="s">
        <v>296</v>
      </c>
      <c r="K46" s="204" t="s">
        <v>296</v>
      </c>
      <c r="L46" s="204" t="s">
        <v>296</v>
      </c>
      <c r="M46" s="204" t="s">
        <v>296</v>
      </c>
      <c r="N46" s="58">
        <v>0</v>
      </c>
      <c r="O46" s="58">
        <v>0</v>
      </c>
      <c r="P46" s="204" t="s">
        <v>296</v>
      </c>
      <c r="Q46" s="220" t="s">
        <v>296</v>
      </c>
      <c r="S46" s="415"/>
      <c r="T46" s="415"/>
      <c r="U46" s="414"/>
      <c r="V46" s="415"/>
      <c r="W46" s="414"/>
      <c r="X46" s="414"/>
      <c r="Y46" s="414"/>
      <c r="Z46" s="414"/>
      <c r="AA46" s="414"/>
      <c r="AB46" s="414"/>
      <c r="AC46" s="414"/>
      <c r="AD46" s="414"/>
      <c r="AE46" s="81"/>
      <c r="AF46" s="81"/>
      <c r="AG46" s="81"/>
      <c r="AH46" s="81"/>
      <c r="AI46" s="81"/>
      <c r="AJ46" s="81"/>
      <c r="AK46" s="81"/>
      <c r="AL46" s="81"/>
      <c r="AM46" s="81"/>
      <c r="AN46" s="81"/>
    </row>
    <row r="47" spans="1:40" s="9" customFormat="1" ht="26.25" customHeight="1" x14ac:dyDescent="0.3">
      <c r="A47" s="937" t="s">
        <v>173</v>
      </c>
      <c r="B47" s="2351" t="s">
        <v>1198</v>
      </c>
      <c r="C47" s="2351"/>
      <c r="D47" s="162">
        <f t="shared" si="6"/>
        <v>0</v>
      </c>
      <c r="E47" s="162">
        <f t="shared" si="6"/>
        <v>0</v>
      </c>
      <c r="F47" s="58">
        <v>0</v>
      </c>
      <c r="G47" s="58">
        <v>0</v>
      </c>
      <c r="H47" s="58">
        <v>0</v>
      </c>
      <c r="I47" s="58">
        <v>0</v>
      </c>
      <c r="J47" s="204" t="s">
        <v>296</v>
      </c>
      <c r="K47" s="204" t="s">
        <v>296</v>
      </c>
      <c r="L47" s="204" t="s">
        <v>296</v>
      </c>
      <c r="M47" s="204" t="s">
        <v>296</v>
      </c>
      <c r="N47" s="58">
        <v>0</v>
      </c>
      <c r="O47" s="58">
        <v>0</v>
      </c>
      <c r="P47" s="204" t="s">
        <v>296</v>
      </c>
      <c r="Q47" s="220" t="s">
        <v>296</v>
      </c>
      <c r="S47" s="415"/>
      <c r="T47" s="415"/>
      <c r="U47" s="414"/>
      <c r="V47" s="415"/>
      <c r="W47" s="414"/>
      <c r="X47" s="414"/>
      <c r="Y47" s="414"/>
      <c r="Z47" s="414"/>
      <c r="AA47" s="414"/>
      <c r="AB47" s="414"/>
      <c r="AC47" s="414"/>
      <c r="AD47" s="414"/>
      <c r="AE47" s="81"/>
      <c r="AF47" s="81"/>
      <c r="AG47" s="81"/>
      <c r="AH47" s="81"/>
      <c r="AI47" s="81"/>
      <c r="AJ47" s="81"/>
      <c r="AK47" s="81"/>
      <c r="AL47" s="81"/>
      <c r="AM47" s="81"/>
      <c r="AN47" s="81"/>
    </row>
    <row r="48" spans="1:40" s="9" customFormat="1" ht="20.25" customHeight="1" x14ac:dyDescent="0.3">
      <c r="A48" s="937" t="s">
        <v>338</v>
      </c>
      <c r="B48" s="2351" t="s">
        <v>1199</v>
      </c>
      <c r="C48" s="2351"/>
      <c r="D48" s="162">
        <f t="shared" si="6"/>
        <v>0</v>
      </c>
      <c r="E48" s="162">
        <f t="shared" si="6"/>
        <v>0</v>
      </c>
      <c r="F48" s="58">
        <v>0</v>
      </c>
      <c r="G48" s="58">
        <v>0</v>
      </c>
      <c r="H48" s="58">
        <v>0</v>
      </c>
      <c r="I48" s="58">
        <v>0</v>
      </c>
      <c r="J48" s="204" t="s">
        <v>296</v>
      </c>
      <c r="K48" s="204" t="s">
        <v>296</v>
      </c>
      <c r="L48" s="204" t="s">
        <v>296</v>
      </c>
      <c r="M48" s="204" t="s">
        <v>296</v>
      </c>
      <c r="N48" s="58">
        <v>0</v>
      </c>
      <c r="O48" s="58">
        <v>0</v>
      </c>
      <c r="P48" s="204" t="s">
        <v>296</v>
      </c>
      <c r="Q48" s="220" t="s">
        <v>296</v>
      </c>
      <c r="S48" s="415"/>
      <c r="T48" s="415"/>
      <c r="U48" s="414"/>
      <c r="V48" s="415"/>
      <c r="W48" s="414"/>
      <c r="X48" s="414"/>
      <c r="Y48" s="414"/>
      <c r="Z48" s="414"/>
      <c r="AA48" s="414"/>
      <c r="AB48" s="414"/>
      <c r="AC48" s="414"/>
      <c r="AD48" s="414"/>
      <c r="AE48" s="81"/>
      <c r="AF48" s="81"/>
      <c r="AG48" s="81"/>
      <c r="AH48" s="81"/>
      <c r="AI48" s="81"/>
      <c r="AJ48" s="81"/>
      <c r="AK48" s="81"/>
      <c r="AL48" s="81"/>
      <c r="AM48" s="81"/>
      <c r="AN48" s="81"/>
    </row>
    <row r="49" spans="1:40" s="9" customFormat="1" ht="26.65" customHeight="1" thickBot="1" x14ac:dyDescent="0.35">
      <c r="A49" s="938" t="s">
        <v>1201</v>
      </c>
      <c r="B49" s="2355" t="s">
        <v>339</v>
      </c>
      <c r="C49" s="2355"/>
      <c r="D49" s="1022">
        <f t="shared" si="6"/>
        <v>0</v>
      </c>
      <c r="E49" s="1022">
        <f t="shared" si="6"/>
        <v>83963</v>
      </c>
      <c r="F49" s="62">
        <v>0</v>
      </c>
      <c r="G49" s="62">
        <v>83963</v>
      </c>
      <c r="H49" s="62">
        <v>0</v>
      </c>
      <c r="I49" s="62">
        <v>0</v>
      </c>
      <c r="J49" s="62">
        <v>0</v>
      </c>
      <c r="K49" s="62">
        <v>0</v>
      </c>
      <c r="L49" s="62">
        <v>0</v>
      </c>
      <c r="M49" s="62">
        <v>0</v>
      </c>
      <c r="N49" s="62">
        <v>0</v>
      </c>
      <c r="O49" s="62">
        <v>0</v>
      </c>
      <c r="P49" s="62">
        <v>0</v>
      </c>
      <c r="Q49" s="63">
        <v>0</v>
      </c>
      <c r="S49" s="166"/>
      <c r="T49" s="81"/>
      <c r="U49" s="81"/>
      <c r="V49" s="81"/>
      <c r="W49" s="81"/>
      <c r="X49" s="81"/>
      <c r="Y49" s="81"/>
      <c r="Z49" s="81"/>
      <c r="AA49" s="81"/>
      <c r="AB49" s="81"/>
      <c r="AC49" s="81"/>
      <c r="AD49" s="81"/>
      <c r="AE49" s="81"/>
      <c r="AF49" s="81"/>
      <c r="AG49" s="81"/>
      <c r="AH49" s="81"/>
      <c r="AI49" s="81"/>
      <c r="AJ49" s="81"/>
      <c r="AK49" s="81"/>
      <c r="AL49" s="81"/>
      <c r="AM49" s="81"/>
      <c r="AN49" s="81"/>
    </row>
    <row r="50" spans="1:40" s="9" customFormat="1" ht="26.65" customHeight="1" x14ac:dyDescent="0.3">
      <c r="A50" s="610" t="s">
        <v>175</v>
      </c>
      <c r="B50" s="2353" t="s">
        <v>320</v>
      </c>
      <c r="C50" s="2353"/>
      <c r="D50" s="1544">
        <f t="shared" si="6"/>
        <v>0</v>
      </c>
      <c r="E50" s="1544">
        <f t="shared" si="6"/>
        <v>439154</v>
      </c>
      <c r="F50" s="1545">
        <v>0</v>
      </c>
      <c r="G50" s="1545">
        <v>79973</v>
      </c>
      <c r="H50" s="1546" t="s">
        <v>296</v>
      </c>
      <c r="I50" s="1546" t="s">
        <v>296</v>
      </c>
      <c r="J50" s="1545">
        <v>0</v>
      </c>
      <c r="K50" s="1545">
        <v>0</v>
      </c>
      <c r="L50" s="1545">
        <v>0</v>
      </c>
      <c r="M50" s="1545">
        <v>0</v>
      </c>
      <c r="N50" s="1545">
        <v>0</v>
      </c>
      <c r="O50" s="1545">
        <f>278335+80846</f>
        <v>359181</v>
      </c>
      <c r="P50" s="1545">
        <v>0</v>
      </c>
      <c r="Q50" s="1547">
        <v>0</v>
      </c>
      <c r="S50" s="166"/>
      <c r="T50" s="81"/>
      <c r="U50" s="81"/>
      <c r="V50" s="81"/>
      <c r="W50" s="81"/>
      <c r="X50" s="81"/>
      <c r="Y50" s="81"/>
      <c r="Z50" s="81"/>
      <c r="AA50" s="81"/>
      <c r="AB50" s="81"/>
      <c r="AC50" s="81"/>
      <c r="AD50" s="81"/>
      <c r="AE50" s="81"/>
      <c r="AF50" s="81"/>
      <c r="AG50" s="81"/>
      <c r="AH50" s="81"/>
      <c r="AI50" s="81"/>
      <c r="AJ50" s="81"/>
      <c r="AK50" s="81"/>
      <c r="AL50" s="81"/>
      <c r="AM50" s="81"/>
      <c r="AN50" s="81"/>
    </row>
    <row r="51" spans="1:40" s="9" customFormat="1" ht="25.35" customHeight="1" x14ac:dyDescent="0.3">
      <c r="A51" s="1516" t="s">
        <v>176</v>
      </c>
      <c r="B51" s="2356" t="s">
        <v>21</v>
      </c>
      <c r="C51" s="2356"/>
      <c r="D51" s="1021">
        <f t="shared" si="6"/>
        <v>0</v>
      </c>
      <c r="E51" s="1021">
        <f t="shared" si="6"/>
        <v>621073</v>
      </c>
      <c r="F51" s="58">
        <v>0</v>
      </c>
      <c r="G51" s="58">
        <v>612144</v>
      </c>
      <c r="H51" s="941" t="s">
        <v>296</v>
      </c>
      <c r="I51" s="941" t="s">
        <v>296</v>
      </c>
      <c r="J51" s="58">
        <v>0</v>
      </c>
      <c r="K51" s="58">
        <v>0</v>
      </c>
      <c r="L51" s="58">
        <v>0</v>
      </c>
      <c r="M51" s="58">
        <v>0</v>
      </c>
      <c r="N51" s="58">
        <v>0</v>
      </c>
      <c r="O51" s="58">
        <v>8929</v>
      </c>
      <c r="P51" s="58">
        <v>0</v>
      </c>
      <c r="Q51" s="61">
        <v>0</v>
      </c>
      <c r="S51" s="166"/>
      <c r="T51" s="81"/>
      <c r="U51" s="81"/>
      <c r="V51" s="81"/>
      <c r="W51" s="81"/>
      <c r="X51" s="81"/>
      <c r="Y51" s="81"/>
      <c r="Z51" s="81"/>
      <c r="AA51" s="81"/>
      <c r="AB51" s="81"/>
      <c r="AC51" s="81"/>
      <c r="AD51" s="81"/>
      <c r="AE51" s="81"/>
      <c r="AF51" s="81"/>
      <c r="AG51" s="81"/>
      <c r="AH51" s="81"/>
      <c r="AI51" s="81"/>
      <c r="AJ51" s="81"/>
      <c r="AK51" s="81"/>
      <c r="AL51" s="81"/>
      <c r="AM51" s="81"/>
      <c r="AN51" s="81"/>
    </row>
    <row r="52" spans="1:40" s="9" customFormat="1" ht="25.35" customHeight="1" x14ac:dyDescent="0.3">
      <c r="A52" s="1516" t="s">
        <v>177</v>
      </c>
      <c r="B52" s="2338" t="s">
        <v>26</v>
      </c>
      <c r="C52" s="2338"/>
      <c r="D52" s="162">
        <f t="shared" si="1"/>
        <v>0</v>
      </c>
      <c r="E52" s="162">
        <f t="shared" si="2"/>
        <v>0</v>
      </c>
      <c r="F52" s="58">
        <v>0</v>
      </c>
      <c r="G52" s="58">
        <v>0</v>
      </c>
      <c r="H52" s="58">
        <v>0</v>
      </c>
      <c r="I52" s="58">
        <v>0</v>
      </c>
      <c r="J52" s="58">
        <v>0</v>
      </c>
      <c r="K52" s="58">
        <v>0</v>
      </c>
      <c r="L52" s="58">
        <v>0</v>
      </c>
      <c r="M52" s="58">
        <v>0</v>
      </c>
      <c r="N52" s="58">
        <v>0</v>
      </c>
      <c r="O52" s="58">
        <v>0</v>
      </c>
      <c r="P52" s="58">
        <v>0</v>
      </c>
      <c r="Q52" s="61">
        <v>0</v>
      </c>
      <c r="S52" s="166"/>
      <c r="T52" s="81"/>
      <c r="U52" s="81"/>
      <c r="V52" s="81"/>
      <c r="W52" s="81"/>
      <c r="X52" s="81"/>
      <c r="Y52" s="81"/>
      <c r="Z52" s="81"/>
      <c r="AA52" s="81"/>
      <c r="AB52" s="81"/>
      <c r="AC52" s="81"/>
      <c r="AD52" s="81"/>
      <c r="AE52" s="81"/>
      <c r="AF52" s="81"/>
      <c r="AG52" s="81"/>
      <c r="AH52" s="81"/>
      <c r="AI52" s="81"/>
      <c r="AJ52" s="81"/>
      <c r="AK52" s="81"/>
      <c r="AL52" s="81"/>
      <c r="AM52" s="81"/>
      <c r="AN52" s="81"/>
    </row>
    <row r="53" spans="1:40" s="9" customFormat="1" ht="25.35" customHeight="1" x14ac:dyDescent="0.3">
      <c r="A53" s="1516" t="s">
        <v>178</v>
      </c>
      <c r="B53" s="2338" t="s">
        <v>22</v>
      </c>
      <c r="C53" s="2338"/>
      <c r="D53" s="162">
        <f t="shared" si="1"/>
        <v>0</v>
      </c>
      <c r="E53" s="162">
        <f t="shared" si="2"/>
        <v>4038</v>
      </c>
      <c r="F53" s="58">
        <v>0</v>
      </c>
      <c r="G53" s="58">
        <v>0</v>
      </c>
      <c r="H53" s="941" t="s">
        <v>296</v>
      </c>
      <c r="I53" s="941" t="s">
        <v>296</v>
      </c>
      <c r="J53" s="58">
        <v>0</v>
      </c>
      <c r="K53" s="58">
        <v>0</v>
      </c>
      <c r="L53" s="58">
        <v>0</v>
      </c>
      <c r="M53" s="58">
        <v>0</v>
      </c>
      <c r="N53" s="58">
        <v>0</v>
      </c>
      <c r="O53" s="58">
        <v>4038</v>
      </c>
      <c r="P53" s="58">
        <v>0</v>
      </c>
      <c r="Q53" s="61">
        <v>0</v>
      </c>
      <c r="S53" s="166"/>
      <c r="T53" s="81"/>
      <c r="U53" s="81"/>
      <c r="V53" s="81"/>
      <c r="W53" s="81"/>
      <c r="X53" s="81"/>
      <c r="Y53" s="81"/>
      <c r="Z53" s="81"/>
      <c r="AA53" s="81"/>
      <c r="AB53" s="81"/>
      <c r="AC53" s="81"/>
      <c r="AD53" s="81"/>
      <c r="AE53" s="81"/>
      <c r="AF53" s="81"/>
      <c r="AG53" s="81"/>
      <c r="AH53" s="81"/>
      <c r="AI53" s="81"/>
      <c r="AJ53" s="81">
        <v>1</v>
      </c>
      <c r="AK53" s="81"/>
      <c r="AL53" s="81"/>
      <c r="AM53" s="81"/>
      <c r="AN53" s="81"/>
    </row>
    <row r="54" spans="1:40" s="9" customFormat="1" ht="21.6" customHeight="1" x14ac:dyDescent="0.3">
      <c r="A54" s="1516" t="s">
        <v>179</v>
      </c>
      <c r="B54" s="2338" t="s">
        <v>23</v>
      </c>
      <c r="C54" s="2338"/>
      <c r="D54" s="162">
        <f t="shared" si="1"/>
        <v>0</v>
      </c>
      <c r="E54" s="162">
        <f t="shared" si="2"/>
        <v>51802</v>
      </c>
      <c r="F54" s="58">
        <v>0</v>
      </c>
      <c r="G54" s="58">
        <v>27294</v>
      </c>
      <c r="H54" s="58">
        <v>0</v>
      </c>
      <c r="I54" s="58">
        <v>0</v>
      </c>
      <c r="J54" s="58">
        <v>0</v>
      </c>
      <c r="K54" s="58">
        <v>0</v>
      </c>
      <c r="L54" s="58">
        <v>0</v>
      </c>
      <c r="M54" s="58">
        <v>0</v>
      </c>
      <c r="N54" s="58">
        <v>0</v>
      </c>
      <c r="O54" s="58">
        <v>24508</v>
      </c>
      <c r="P54" s="58">
        <v>0</v>
      </c>
      <c r="Q54" s="61">
        <v>0</v>
      </c>
      <c r="S54" s="166"/>
      <c r="T54" s="81"/>
      <c r="U54" s="81"/>
      <c r="V54" s="81"/>
      <c r="W54" s="81"/>
      <c r="X54" s="81"/>
      <c r="Y54" s="81"/>
      <c r="Z54" s="81"/>
      <c r="AA54" s="81"/>
      <c r="AB54" s="81"/>
      <c r="AC54" s="81"/>
      <c r="AD54" s="81"/>
      <c r="AE54" s="81"/>
      <c r="AF54" s="81"/>
      <c r="AG54" s="81"/>
      <c r="AH54" s="81"/>
      <c r="AI54" s="81"/>
      <c r="AJ54" s="81"/>
      <c r="AK54" s="81"/>
      <c r="AL54" s="81"/>
      <c r="AM54" s="81"/>
      <c r="AN54" s="81"/>
    </row>
    <row r="55" spans="1:40" s="9" customFormat="1" ht="36.6" customHeight="1" x14ac:dyDescent="0.3">
      <c r="A55" s="1516" t="s">
        <v>180</v>
      </c>
      <c r="B55" s="2354" t="s">
        <v>211</v>
      </c>
      <c r="C55" s="2354"/>
      <c r="D55" s="162">
        <f t="shared" si="1"/>
        <v>0</v>
      </c>
      <c r="E55" s="162">
        <f t="shared" si="2"/>
        <v>2456324</v>
      </c>
      <c r="F55" s="58">
        <v>0</v>
      </c>
      <c r="G55" s="58">
        <v>0</v>
      </c>
      <c r="H55" s="58">
        <v>0</v>
      </c>
      <c r="I55" s="58">
        <v>0</v>
      </c>
      <c r="J55" s="58">
        <v>0</v>
      </c>
      <c r="K55" s="58">
        <v>0</v>
      </c>
      <c r="L55" s="58">
        <v>0</v>
      </c>
      <c r="M55" s="58">
        <v>0</v>
      </c>
      <c r="N55" s="58">
        <v>0</v>
      </c>
      <c r="O55" s="58">
        <v>2456324</v>
      </c>
      <c r="P55" s="58">
        <v>0</v>
      </c>
      <c r="Q55" s="61">
        <v>0</v>
      </c>
      <c r="S55" s="166"/>
      <c r="T55" s="81"/>
      <c r="U55" s="81"/>
      <c r="V55" s="81"/>
      <c r="W55" s="81"/>
      <c r="X55" s="81"/>
      <c r="Y55" s="81"/>
      <c r="Z55" s="81"/>
      <c r="AA55" s="81"/>
      <c r="AB55" s="81"/>
      <c r="AC55" s="81"/>
      <c r="AD55" s="81"/>
      <c r="AE55" s="81"/>
      <c r="AF55" s="81"/>
      <c r="AG55" s="81"/>
      <c r="AH55" s="81"/>
      <c r="AI55" s="81"/>
      <c r="AJ55" s="81"/>
      <c r="AK55" s="81"/>
      <c r="AL55" s="81"/>
      <c r="AM55" s="81"/>
      <c r="AN55" s="81"/>
    </row>
    <row r="56" spans="1:40" s="9" customFormat="1" ht="24" customHeight="1" x14ac:dyDescent="0.3">
      <c r="A56" s="1516" t="s">
        <v>181</v>
      </c>
      <c r="B56" s="2338" t="s">
        <v>24</v>
      </c>
      <c r="C56" s="2338"/>
      <c r="D56" s="162">
        <f t="shared" si="1"/>
        <v>0</v>
      </c>
      <c r="E56" s="162">
        <f t="shared" si="2"/>
        <v>0</v>
      </c>
      <c r="F56" s="58">
        <v>0</v>
      </c>
      <c r="G56" s="58">
        <v>0</v>
      </c>
      <c r="H56" s="941" t="s">
        <v>296</v>
      </c>
      <c r="I56" s="941" t="s">
        <v>296</v>
      </c>
      <c r="J56" s="58">
        <v>0</v>
      </c>
      <c r="K56" s="58">
        <v>0</v>
      </c>
      <c r="L56" s="58">
        <v>0</v>
      </c>
      <c r="M56" s="58">
        <v>0</v>
      </c>
      <c r="N56" s="58">
        <v>0</v>
      </c>
      <c r="O56" s="58">
        <v>0</v>
      </c>
      <c r="P56" s="58">
        <v>0</v>
      </c>
      <c r="Q56" s="61">
        <v>0</v>
      </c>
      <c r="S56" s="166"/>
      <c r="T56" s="81"/>
      <c r="U56" s="81"/>
      <c r="V56" s="81"/>
      <c r="W56" s="81"/>
      <c r="X56" s="81"/>
      <c r="Y56" s="81"/>
      <c r="Z56" s="81"/>
      <c r="AA56" s="81"/>
      <c r="AB56" s="81"/>
      <c r="AC56" s="81"/>
      <c r="AD56" s="81"/>
      <c r="AE56" s="81"/>
      <c r="AF56" s="81"/>
      <c r="AG56" s="81"/>
      <c r="AH56" s="81"/>
      <c r="AI56" s="81"/>
      <c r="AJ56" s="81"/>
      <c r="AK56" s="81"/>
      <c r="AL56" s="81"/>
      <c r="AM56" s="81"/>
      <c r="AN56" s="81"/>
    </row>
    <row r="57" spans="1:40" s="9" customFormat="1" ht="24" customHeight="1" x14ac:dyDescent="0.3">
      <c r="A57" s="1516" t="s">
        <v>1202</v>
      </c>
      <c r="B57" s="2338" t="s">
        <v>25</v>
      </c>
      <c r="C57" s="2338"/>
      <c r="D57" s="162">
        <f t="shared" si="1"/>
        <v>0</v>
      </c>
      <c r="E57" s="162">
        <f t="shared" si="2"/>
        <v>13414</v>
      </c>
      <c r="F57" s="58">
        <v>0</v>
      </c>
      <c r="G57" s="58">
        <v>0</v>
      </c>
      <c r="H57" s="941" t="s">
        <v>296</v>
      </c>
      <c r="I57" s="941" t="s">
        <v>296</v>
      </c>
      <c r="J57" s="58">
        <v>0</v>
      </c>
      <c r="K57" s="58">
        <v>0</v>
      </c>
      <c r="L57" s="58">
        <v>0</v>
      </c>
      <c r="M57" s="58">
        <v>0</v>
      </c>
      <c r="N57" s="58">
        <v>0</v>
      </c>
      <c r="O57" s="58">
        <v>13414</v>
      </c>
      <c r="P57" s="58">
        <v>0</v>
      </c>
      <c r="Q57" s="61">
        <v>0</v>
      </c>
      <c r="S57" s="166"/>
      <c r="T57" s="81"/>
      <c r="U57" s="81"/>
      <c r="V57" s="81"/>
      <c r="W57" s="81"/>
      <c r="X57" s="81"/>
      <c r="Y57" s="81"/>
      <c r="Z57" s="81"/>
      <c r="AA57" s="81"/>
      <c r="AB57" s="81"/>
      <c r="AC57" s="81"/>
      <c r="AD57" s="81"/>
      <c r="AE57" s="81"/>
      <c r="AF57" s="81"/>
      <c r="AG57" s="81"/>
      <c r="AH57" s="81"/>
      <c r="AI57" s="81"/>
      <c r="AJ57" s="81"/>
      <c r="AK57" s="81"/>
      <c r="AL57" s="81"/>
      <c r="AM57" s="81"/>
      <c r="AN57" s="81"/>
    </row>
    <row r="58" spans="1:40" s="9" customFormat="1" ht="24" customHeight="1" x14ac:dyDescent="0.3">
      <c r="A58" s="398" t="s">
        <v>182</v>
      </c>
      <c r="B58" s="2195" t="s">
        <v>683</v>
      </c>
      <c r="C58" s="2195"/>
      <c r="D58" s="350">
        <f t="shared" si="1"/>
        <v>0</v>
      </c>
      <c r="E58" s="350">
        <f t="shared" si="2"/>
        <v>0</v>
      </c>
      <c r="F58" s="350">
        <f>SUM(F59,F60,F61,F62,F63,F64)</f>
        <v>0</v>
      </c>
      <c r="G58" s="350">
        <f>SUM(G59,G60,G61,G62,G63,G64)</f>
        <v>0</v>
      </c>
      <c r="H58" s="381" t="s">
        <v>296</v>
      </c>
      <c r="I58" s="381" t="s">
        <v>296</v>
      </c>
      <c r="J58" s="350">
        <f t="shared" ref="J58:Q58" si="7">SUM(J59,J60,J61,J62,J63,J64)</f>
        <v>0</v>
      </c>
      <c r="K58" s="350">
        <f t="shared" si="7"/>
        <v>0</v>
      </c>
      <c r="L58" s="350">
        <f>SUM(L59,L60,L61,L62,L63,L64)</f>
        <v>0</v>
      </c>
      <c r="M58" s="350">
        <f>SUM(M59,M60,M61,M62,M63,M64)</f>
        <v>0</v>
      </c>
      <c r="N58" s="350">
        <f t="shared" si="7"/>
        <v>0</v>
      </c>
      <c r="O58" s="350">
        <f>SUM(O59,O60,O61,O62,O63,O64)</f>
        <v>0</v>
      </c>
      <c r="P58" s="350">
        <f t="shared" si="7"/>
        <v>0</v>
      </c>
      <c r="Q58" s="351">
        <f t="shared" si="7"/>
        <v>0</v>
      </c>
      <c r="S58" s="165"/>
      <c r="T58" s="81"/>
      <c r="U58" s="81"/>
      <c r="V58" s="81"/>
      <c r="W58" s="81"/>
      <c r="X58" s="81"/>
      <c r="Y58" s="81"/>
      <c r="Z58" s="81"/>
      <c r="AA58" s="81"/>
      <c r="AB58" s="81"/>
      <c r="AC58" s="81"/>
      <c r="AD58" s="81"/>
      <c r="AE58" s="81"/>
      <c r="AF58" s="81"/>
      <c r="AG58" s="81"/>
      <c r="AH58" s="81"/>
      <c r="AI58" s="81"/>
      <c r="AJ58" s="81"/>
      <c r="AK58" s="81"/>
      <c r="AL58" s="81"/>
      <c r="AM58" s="81"/>
      <c r="AN58" s="81"/>
    </row>
    <row r="59" spans="1:40" s="9" customFormat="1" ht="24" customHeight="1" x14ac:dyDescent="0.3">
      <c r="A59" s="1516" t="s">
        <v>1203</v>
      </c>
      <c r="B59" s="2351" t="s">
        <v>684</v>
      </c>
      <c r="C59" s="2351"/>
      <c r="D59" s="162">
        <f t="shared" si="1"/>
        <v>0</v>
      </c>
      <c r="E59" s="162">
        <f t="shared" si="2"/>
        <v>0</v>
      </c>
      <c r="F59" s="207">
        <v>0</v>
      </c>
      <c r="G59" s="207">
        <v>0</v>
      </c>
      <c r="H59" s="941" t="s">
        <v>296</v>
      </c>
      <c r="I59" s="941" t="s">
        <v>296</v>
      </c>
      <c r="J59" s="340" t="s">
        <v>296</v>
      </c>
      <c r="K59" s="340" t="s">
        <v>296</v>
      </c>
      <c r="L59" s="340" t="s">
        <v>296</v>
      </c>
      <c r="M59" s="340" t="s">
        <v>296</v>
      </c>
      <c r="N59" s="207">
        <v>0</v>
      </c>
      <c r="O59" s="207">
        <v>0</v>
      </c>
      <c r="P59" s="207">
        <v>0</v>
      </c>
      <c r="Q59" s="397">
        <v>0</v>
      </c>
      <c r="S59" s="166"/>
      <c r="T59" s="81"/>
      <c r="U59" s="81"/>
      <c r="V59" s="81"/>
      <c r="W59" s="81"/>
      <c r="X59" s="81"/>
      <c r="Y59" s="81"/>
      <c r="Z59" s="81"/>
      <c r="AA59" s="81"/>
      <c r="AB59" s="81"/>
      <c r="AC59" s="81"/>
      <c r="AD59" s="81"/>
      <c r="AE59" s="81"/>
      <c r="AF59" s="81"/>
      <c r="AG59" s="81"/>
      <c r="AH59" s="81"/>
      <c r="AI59" s="81"/>
      <c r="AJ59" s="81"/>
      <c r="AK59" s="81"/>
      <c r="AL59" s="81"/>
      <c r="AM59" s="81"/>
      <c r="AN59" s="81"/>
    </row>
    <row r="60" spans="1:40" s="9" customFormat="1" ht="24" customHeight="1" x14ac:dyDescent="0.3">
      <c r="A60" s="1516" t="s">
        <v>1204</v>
      </c>
      <c r="B60" s="2351" t="s">
        <v>685</v>
      </c>
      <c r="C60" s="2351"/>
      <c r="D60" s="162">
        <f t="shared" si="1"/>
        <v>0</v>
      </c>
      <c r="E60" s="162">
        <f t="shared" si="2"/>
        <v>0</v>
      </c>
      <c r="F60" s="207">
        <v>0</v>
      </c>
      <c r="G60" s="207">
        <v>0</v>
      </c>
      <c r="H60" s="941" t="s">
        <v>296</v>
      </c>
      <c r="I60" s="941" t="s">
        <v>296</v>
      </c>
      <c r="J60" s="207">
        <v>0</v>
      </c>
      <c r="K60" s="207">
        <v>0</v>
      </c>
      <c r="L60" s="207">
        <v>0</v>
      </c>
      <c r="M60" s="207">
        <v>0</v>
      </c>
      <c r="N60" s="207">
        <v>0</v>
      </c>
      <c r="O60" s="207">
        <v>0</v>
      </c>
      <c r="P60" s="207">
        <v>0</v>
      </c>
      <c r="Q60" s="397">
        <v>0</v>
      </c>
      <c r="R60" s="1543"/>
      <c r="S60" s="166"/>
      <c r="T60" s="81"/>
      <c r="U60" s="81"/>
      <c r="V60" s="81"/>
      <c r="W60" s="81"/>
      <c r="X60" s="81"/>
      <c r="Y60" s="81"/>
      <c r="Z60" s="81"/>
      <c r="AA60" s="81"/>
      <c r="AB60" s="81"/>
      <c r="AC60" s="81"/>
      <c r="AD60" s="81"/>
      <c r="AE60" s="81"/>
      <c r="AF60" s="81"/>
      <c r="AG60" s="81"/>
      <c r="AH60" s="81"/>
      <c r="AI60" s="81"/>
      <c r="AJ60" s="81"/>
      <c r="AK60" s="81"/>
      <c r="AL60" s="81"/>
      <c r="AM60" s="81"/>
      <c r="AN60" s="81"/>
    </row>
    <row r="61" spans="1:40" s="9" customFormat="1" ht="24" customHeight="1" x14ac:dyDescent="0.3">
      <c r="A61" s="1516" t="s">
        <v>1205</v>
      </c>
      <c r="B61" s="2351" t="s">
        <v>686</v>
      </c>
      <c r="C61" s="2351"/>
      <c r="D61" s="162">
        <f t="shared" si="1"/>
        <v>0</v>
      </c>
      <c r="E61" s="162">
        <f t="shared" si="2"/>
        <v>0</v>
      </c>
      <c r="F61" s="207">
        <v>0</v>
      </c>
      <c r="G61" s="207">
        <v>0</v>
      </c>
      <c r="H61" s="941" t="s">
        <v>296</v>
      </c>
      <c r="I61" s="941" t="s">
        <v>296</v>
      </c>
      <c r="J61" s="207">
        <v>0</v>
      </c>
      <c r="K61" s="207">
        <v>0</v>
      </c>
      <c r="L61" s="207">
        <v>0</v>
      </c>
      <c r="M61" s="207">
        <v>0</v>
      </c>
      <c r="N61" s="207">
        <v>0</v>
      </c>
      <c r="O61" s="207">
        <v>0</v>
      </c>
      <c r="P61" s="207">
        <v>0</v>
      </c>
      <c r="Q61" s="397">
        <v>0</v>
      </c>
      <c r="R61" s="1543"/>
      <c r="S61" s="166"/>
      <c r="T61" s="81"/>
      <c r="U61" s="81"/>
      <c r="V61" s="81"/>
      <c r="W61" s="81"/>
      <c r="X61" s="81"/>
      <c r="Y61" s="81"/>
      <c r="Z61" s="81"/>
      <c r="AA61" s="81"/>
      <c r="AB61" s="81"/>
      <c r="AC61" s="81"/>
      <c r="AD61" s="81"/>
      <c r="AE61" s="81"/>
      <c r="AF61" s="81"/>
      <c r="AG61" s="81"/>
      <c r="AH61" s="81"/>
      <c r="AI61" s="81"/>
      <c r="AJ61" s="81"/>
      <c r="AK61" s="81"/>
      <c r="AL61" s="81"/>
      <c r="AM61" s="81"/>
      <c r="AN61" s="81"/>
    </row>
    <row r="62" spans="1:40" s="9" customFormat="1" ht="24" customHeight="1" x14ac:dyDescent="0.3">
      <c r="A62" s="1516" t="s">
        <v>1206</v>
      </c>
      <c r="B62" s="2351" t="s">
        <v>687</v>
      </c>
      <c r="C62" s="2351"/>
      <c r="D62" s="162">
        <f t="shared" si="1"/>
        <v>0</v>
      </c>
      <c r="E62" s="162">
        <f t="shared" si="2"/>
        <v>0</v>
      </c>
      <c r="F62" s="207">
        <v>0</v>
      </c>
      <c r="G62" s="207">
        <v>0</v>
      </c>
      <c r="H62" s="941" t="s">
        <v>296</v>
      </c>
      <c r="I62" s="941" t="s">
        <v>296</v>
      </c>
      <c r="J62" s="207">
        <v>0</v>
      </c>
      <c r="K62" s="207">
        <v>0</v>
      </c>
      <c r="L62" s="207">
        <v>0</v>
      </c>
      <c r="M62" s="207">
        <v>0</v>
      </c>
      <c r="N62" s="207">
        <v>0</v>
      </c>
      <c r="O62" s="207">
        <v>0</v>
      </c>
      <c r="P62" s="207">
        <v>0</v>
      </c>
      <c r="Q62" s="397">
        <v>0</v>
      </c>
      <c r="R62" s="1543"/>
      <c r="S62" s="166"/>
      <c r="T62" s="81"/>
      <c r="U62" s="81"/>
      <c r="V62" s="81"/>
      <c r="W62" s="81"/>
      <c r="X62" s="81"/>
      <c r="Y62" s="81"/>
      <c r="Z62" s="81"/>
      <c r="AA62" s="81"/>
      <c r="AB62" s="81"/>
      <c r="AC62" s="81"/>
      <c r="AD62" s="81"/>
      <c r="AE62" s="81"/>
      <c r="AF62" s="81"/>
      <c r="AG62" s="81"/>
      <c r="AH62" s="81"/>
      <c r="AI62" s="81"/>
      <c r="AJ62" s="81"/>
      <c r="AK62" s="81"/>
      <c r="AL62" s="81"/>
      <c r="AM62" s="81"/>
      <c r="AN62" s="81"/>
    </row>
    <row r="63" spans="1:40" s="9" customFormat="1" ht="39" customHeight="1" x14ac:dyDescent="0.3">
      <c r="A63" s="1516" t="s">
        <v>1207</v>
      </c>
      <c r="B63" s="2351" t="s">
        <v>1310</v>
      </c>
      <c r="C63" s="2351"/>
      <c r="D63" s="162">
        <f t="shared" si="1"/>
        <v>0</v>
      </c>
      <c r="E63" s="162">
        <f t="shared" si="2"/>
        <v>0</v>
      </c>
      <c r="F63" s="207">
        <v>0</v>
      </c>
      <c r="G63" s="207">
        <v>0</v>
      </c>
      <c r="H63" s="941" t="s">
        <v>296</v>
      </c>
      <c r="I63" s="941" t="s">
        <v>296</v>
      </c>
      <c r="J63" s="207">
        <v>0</v>
      </c>
      <c r="K63" s="207">
        <v>0</v>
      </c>
      <c r="L63" s="207">
        <v>0</v>
      </c>
      <c r="M63" s="207">
        <v>0</v>
      </c>
      <c r="N63" s="207">
        <v>0</v>
      </c>
      <c r="O63" s="207">
        <v>0</v>
      </c>
      <c r="P63" s="207">
        <v>0</v>
      </c>
      <c r="Q63" s="397">
        <v>0</v>
      </c>
      <c r="R63" s="1543"/>
      <c r="S63" s="166"/>
      <c r="T63" s="81"/>
      <c r="U63" s="81"/>
      <c r="V63" s="81"/>
      <c r="W63" s="81"/>
      <c r="X63" s="81"/>
      <c r="Y63" s="81"/>
      <c r="Z63" s="81"/>
      <c r="AA63" s="81"/>
      <c r="AB63" s="81"/>
      <c r="AC63" s="81"/>
      <c r="AD63" s="81"/>
      <c r="AE63" s="81"/>
      <c r="AF63" s="81"/>
      <c r="AG63" s="81"/>
      <c r="AH63" s="81"/>
      <c r="AI63" s="81"/>
      <c r="AJ63" s="81"/>
      <c r="AK63" s="81"/>
      <c r="AL63" s="81"/>
      <c r="AM63" s="81"/>
      <c r="AN63" s="81"/>
    </row>
    <row r="64" spans="1:40" s="9" customFormat="1" ht="24" customHeight="1" x14ac:dyDescent="0.3">
      <c r="A64" s="1516" t="s">
        <v>1208</v>
      </c>
      <c r="B64" s="2351" t="s">
        <v>688</v>
      </c>
      <c r="C64" s="2351"/>
      <c r="D64" s="162">
        <f t="shared" si="1"/>
        <v>0</v>
      </c>
      <c r="E64" s="162">
        <f t="shared" si="2"/>
        <v>0</v>
      </c>
      <c r="F64" s="207">
        <v>0</v>
      </c>
      <c r="G64" s="207">
        <v>0</v>
      </c>
      <c r="H64" s="941" t="s">
        <v>296</v>
      </c>
      <c r="I64" s="941" t="s">
        <v>296</v>
      </c>
      <c r="J64" s="207">
        <v>0</v>
      </c>
      <c r="K64" s="207">
        <v>0</v>
      </c>
      <c r="L64" s="207">
        <v>0</v>
      </c>
      <c r="M64" s="207">
        <v>0</v>
      </c>
      <c r="N64" s="207">
        <v>0</v>
      </c>
      <c r="O64" s="207">
        <v>0</v>
      </c>
      <c r="P64" s="207">
        <v>0</v>
      </c>
      <c r="Q64" s="397">
        <v>0</v>
      </c>
      <c r="R64" s="1543"/>
      <c r="S64" s="166"/>
      <c r="T64" s="81"/>
      <c r="U64" s="81"/>
      <c r="V64" s="81"/>
      <c r="W64" s="81"/>
      <c r="X64" s="81"/>
      <c r="Y64" s="81"/>
      <c r="Z64" s="81"/>
      <c r="AA64" s="81"/>
      <c r="AB64" s="81"/>
      <c r="AC64" s="81"/>
      <c r="AD64" s="81"/>
      <c r="AE64" s="81"/>
      <c r="AF64" s="81"/>
      <c r="AG64" s="81"/>
      <c r="AH64" s="81"/>
      <c r="AI64" s="81"/>
      <c r="AJ64" s="81"/>
      <c r="AK64" s="81"/>
      <c r="AL64" s="81"/>
      <c r="AM64" s="81"/>
      <c r="AN64" s="81"/>
    </row>
    <row r="65" spans="1:40" s="9" customFormat="1" ht="24" customHeight="1" thickBot="1" x14ac:dyDescent="0.35">
      <c r="A65" s="1515" t="s">
        <v>183</v>
      </c>
      <c r="B65" s="2341" t="s">
        <v>43</v>
      </c>
      <c r="C65" s="2341"/>
      <c r="D65" s="1022">
        <f t="shared" si="1"/>
        <v>0</v>
      </c>
      <c r="E65" s="1022">
        <f t="shared" si="2"/>
        <v>0</v>
      </c>
      <c r="F65" s="62">
        <v>0</v>
      </c>
      <c r="G65" s="62">
        <v>0</v>
      </c>
      <c r="H65" s="62">
        <v>0</v>
      </c>
      <c r="I65" s="62">
        <v>0</v>
      </c>
      <c r="J65" s="62">
        <v>0</v>
      </c>
      <c r="K65" s="62">
        <v>0</v>
      </c>
      <c r="L65" s="62">
        <v>0</v>
      </c>
      <c r="M65" s="62">
        <v>0</v>
      </c>
      <c r="N65" s="62">
        <v>0</v>
      </c>
      <c r="O65" s="62">
        <v>0</v>
      </c>
      <c r="P65" s="62">
        <v>0</v>
      </c>
      <c r="Q65" s="63">
        <v>0</v>
      </c>
      <c r="R65" s="1543"/>
      <c r="S65" s="166"/>
      <c r="T65" s="81"/>
      <c r="U65" s="81"/>
      <c r="V65" s="81"/>
      <c r="W65" s="81"/>
      <c r="X65" s="81"/>
      <c r="Y65" s="81"/>
      <c r="Z65" s="81"/>
      <c r="AA65" s="81"/>
      <c r="AB65" s="81"/>
      <c r="AC65" s="81"/>
      <c r="AD65" s="81"/>
      <c r="AE65" s="81"/>
      <c r="AF65" s="81"/>
      <c r="AG65" s="81"/>
      <c r="AH65" s="81"/>
      <c r="AI65" s="81"/>
      <c r="AJ65" s="81"/>
      <c r="AK65" s="81"/>
      <c r="AL65" s="81"/>
      <c r="AM65" s="81"/>
      <c r="AN65" s="81"/>
    </row>
    <row r="66" spans="1:40" s="9" customFormat="1" ht="24" customHeight="1" x14ac:dyDescent="0.3">
      <c r="A66" s="208" t="s">
        <v>184</v>
      </c>
      <c r="B66" s="2335" t="s">
        <v>27</v>
      </c>
      <c r="C66" s="2335"/>
      <c r="D66" s="209">
        <f t="shared" si="1"/>
        <v>0</v>
      </c>
      <c r="E66" s="209">
        <f t="shared" si="2"/>
        <v>1907941</v>
      </c>
      <c r="F66" s="209">
        <f>SUM(F67,F68,F69,F70,F71,F77,F78,F79,F80,F81,F82,F83,F84,F85,F87,F86)</f>
        <v>0</v>
      </c>
      <c r="G66" s="209">
        <f>SUM(G67,G68,G69,G70,G71,G77,G78,G79,G80,G81,G82,G83,G84,G85,G87,G86)</f>
        <v>1907941</v>
      </c>
      <c r="H66" s="209">
        <f t="shared" ref="H66:M66" si="8">SUM(H67,H68,H69,H70,H71,H77,H78,H79,H80,H81,H82,H83,H84,H85,H87)</f>
        <v>0</v>
      </c>
      <c r="I66" s="209">
        <f t="shared" si="8"/>
        <v>0</v>
      </c>
      <c r="J66" s="209">
        <f t="shared" si="8"/>
        <v>0</v>
      </c>
      <c r="K66" s="209">
        <f>SUM(K67,K68,K69,K70,K71,K77,K78,K79,K80,K81,K82,K83,K84,K85,K87)</f>
        <v>0</v>
      </c>
      <c r="L66" s="209">
        <f t="shared" si="8"/>
        <v>0</v>
      </c>
      <c r="M66" s="209">
        <f t="shared" si="8"/>
        <v>0</v>
      </c>
      <c r="N66" s="209">
        <f>SUM(N67,N68,N69,N70,N71,N77,N78,N79,N80,N81,N82,N83,N84,N85,N87,N86)</f>
        <v>0</v>
      </c>
      <c r="O66" s="209">
        <f>SUM(O67,O68,O69,O70,O71,O77,O78,O79,O80,O81,O82,O83,O84,O85,O87,O86)</f>
        <v>0</v>
      </c>
      <c r="P66" s="209">
        <f>SUM(P67,P68,P69,P70,P71,P77,P78,P79,P80,P81,P82,P83,P84,P85,P87,P86)</f>
        <v>0</v>
      </c>
      <c r="Q66" s="1542">
        <f>SUM(Q67,Q68,Q69,Q70,Q71,Q77,Q78,Q79,Q80,Q81,Q82,Q83,Q84,Q85,Q87,Q86)</f>
        <v>0</v>
      </c>
      <c r="R66" s="26"/>
      <c r="S66" s="165"/>
      <c r="T66" s="81"/>
      <c r="U66" s="81"/>
      <c r="V66" s="81"/>
      <c r="W66" s="81"/>
      <c r="X66" s="81"/>
      <c r="Y66" s="81"/>
      <c r="Z66" s="81"/>
      <c r="AA66" s="81"/>
      <c r="AB66" s="81"/>
      <c r="AC66" s="81"/>
      <c r="AD66" s="81"/>
      <c r="AE66" s="81"/>
      <c r="AF66" s="81"/>
      <c r="AG66" s="81"/>
      <c r="AH66" s="81"/>
      <c r="AI66" s="81"/>
      <c r="AJ66" s="81"/>
      <c r="AK66" s="81"/>
      <c r="AL66" s="81"/>
      <c r="AM66" s="81"/>
      <c r="AN66" s="81"/>
    </row>
    <row r="67" spans="1:40" s="9" customFormat="1" ht="24" customHeight="1" x14ac:dyDescent="0.3">
      <c r="A67" s="379" t="s">
        <v>300</v>
      </c>
      <c r="B67" s="2338" t="s">
        <v>28</v>
      </c>
      <c r="C67" s="2338"/>
      <c r="D67" s="162">
        <f t="shared" si="1"/>
        <v>0</v>
      </c>
      <c r="E67" s="162">
        <f t="shared" si="2"/>
        <v>0</v>
      </c>
      <c r="F67" s="207">
        <v>0</v>
      </c>
      <c r="G67" s="207">
        <v>0</v>
      </c>
      <c r="H67" s="206" t="s">
        <v>296</v>
      </c>
      <c r="I67" s="206" t="s">
        <v>296</v>
      </c>
      <c r="J67" s="207">
        <v>0</v>
      </c>
      <c r="K67" s="207">
        <v>0</v>
      </c>
      <c r="L67" s="207">
        <v>0</v>
      </c>
      <c r="M67" s="207">
        <v>0</v>
      </c>
      <c r="N67" s="207">
        <v>0</v>
      </c>
      <c r="O67" s="207">
        <v>0</v>
      </c>
      <c r="P67" s="207">
        <v>0</v>
      </c>
      <c r="Q67" s="207">
        <v>0</v>
      </c>
      <c r="S67" s="166"/>
      <c r="T67" s="81"/>
      <c r="U67" s="81"/>
      <c r="V67" s="81"/>
      <c r="W67" s="81"/>
      <c r="X67" s="81"/>
      <c r="Y67" s="81"/>
      <c r="Z67" s="81"/>
      <c r="AA67" s="81"/>
      <c r="AB67" s="81"/>
      <c r="AC67" s="81"/>
      <c r="AD67" s="81"/>
      <c r="AE67" s="81"/>
      <c r="AF67" s="81"/>
      <c r="AG67" s="81"/>
      <c r="AH67" s="81"/>
      <c r="AI67" s="81"/>
      <c r="AJ67" s="81"/>
      <c r="AK67" s="81"/>
      <c r="AL67" s="81"/>
      <c r="AM67" s="81"/>
      <c r="AN67" s="81"/>
    </row>
    <row r="68" spans="1:40" s="9" customFormat="1" ht="41.1" customHeight="1" x14ac:dyDescent="0.3">
      <c r="A68" s="379" t="s">
        <v>301</v>
      </c>
      <c r="B68" s="2338" t="s">
        <v>29</v>
      </c>
      <c r="C68" s="2338"/>
      <c r="D68" s="162">
        <f t="shared" si="1"/>
        <v>0</v>
      </c>
      <c r="E68" s="162">
        <f t="shared" si="2"/>
        <v>11730</v>
      </c>
      <c r="F68" s="207">
        <v>0</v>
      </c>
      <c r="G68" s="207">
        <v>11730</v>
      </c>
      <c r="H68" s="206" t="s">
        <v>296</v>
      </c>
      <c r="I68" s="206" t="s">
        <v>296</v>
      </c>
      <c r="J68" s="207">
        <v>0</v>
      </c>
      <c r="K68" s="207">
        <v>0</v>
      </c>
      <c r="L68" s="207">
        <v>0</v>
      </c>
      <c r="M68" s="207">
        <v>0</v>
      </c>
      <c r="N68" s="207">
        <v>0</v>
      </c>
      <c r="O68" s="207">
        <v>0</v>
      </c>
      <c r="P68" s="207">
        <v>0</v>
      </c>
      <c r="Q68" s="207">
        <v>0</v>
      </c>
      <c r="S68" s="166"/>
      <c r="T68" s="81"/>
      <c r="U68" s="81"/>
      <c r="V68" s="81"/>
      <c r="W68" s="81"/>
      <c r="X68" s="81"/>
      <c r="Y68" s="81"/>
      <c r="Z68" s="81"/>
      <c r="AA68" s="81"/>
      <c r="AB68" s="81"/>
      <c r="AC68" s="81"/>
      <c r="AD68" s="81"/>
      <c r="AE68" s="81"/>
      <c r="AF68" s="81"/>
      <c r="AG68" s="81"/>
      <c r="AH68" s="81"/>
      <c r="AI68" s="81"/>
      <c r="AJ68" s="81"/>
      <c r="AK68" s="81"/>
      <c r="AL68" s="81"/>
      <c r="AM68" s="81"/>
      <c r="AN68" s="81"/>
    </row>
    <row r="69" spans="1:40" s="9" customFormat="1" ht="25.35" customHeight="1" x14ac:dyDescent="0.3">
      <c r="A69" s="379" t="s">
        <v>302</v>
      </c>
      <c r="B69" s="2338" t="s">
        <v>258</v>
      </c>
      <c r="C69" s="2338"/>
      <c r="D69" s="162">
        <f t="shared" si="1"/>
        <v>0</v>
      </c>
      <c r="E69" s="162">
        <f t="shared" si="2"/>
        <v>383005</v>
      </c>
      <c r="F69" s="207">
        <v>0</v>
      </c>
      <c r="G69" s="207">
        <v>383005</v>
      </c>
      <c r="H69" s="206" t="s">
        <v>296</v>
      </c>
      <c r="I69" s="206" t="s">
        <v>296</v>
      </c>
      <c r="J69" s="207">
        <v>0</v>
      </c>
      <c r="K69" s="207">
        <v>0</v>
      </c>
      <c r="L69" s="207">
        <v>0</v>
      </c>
      <c r="M69" s="207">
        <v>0</v>
      </c>
      <c r="N69" s="207">
        <v>0</v>
      </c>
      <c r="O69" s="207">
        <v>0</v>
      </c>
      <c r="P69" s="207">
        <v>0</v>
      </c>
      <c r="Q69" s="207">
        <v>0</v>
      </c>
      <c r="S69" s="166"/>
      <c r="T69" s="81"/>
      <c r="U69" s="81"/>
      <c r="V69" s="81"/>
      <c r="W69" s="81"/>
      <c r="X69" s="81"/>
      <c r="Y69" s="81"/>
      <c r="Z69" s="81"/>
      <c r="AA69" s="81"/>
      <c r="AB69" s="81"/>
      <c r="AC69" s="81"/>
      <c r="AD69" s="81"/>
      <c r="AE69" s="81"/>
      <c r="AF69" s="81"/>
      <c r="AG69" s="81"/>
      <c r="AH69" s="81"/>
      <c r="AI69" s="81"/>
      <c r="AJ69" s="81"/>
      <c r="AK69" s="81"/>
      <c r="AL69" s="81"/>
      <c r="AM69" s="81"/>
      <c r="AN69" s="81"/>
    </row>
    <row r="70" spans="1:40" s="9" customFormat="1" ht="24" customHeight="1" thickBot="1" x14ac:dyDescent="0.35">
      <c r="A70" s="379" t="s">
        <v>303</v>
      </c>
      <c r="B70" s="2357" t="s">
        <v>30</v>
      </c>
      <c r="C70" s="2357"/>
      <c r="D70" s="1023">
        <f t="shared" si="1"/>
        <v>0</v>
      </c>
      <c r="E70" s="1023">
        <f t="shared" si="2"/>
        <v>0</v>
      </c>
      <c r="F70" s="207">
        <v>0</v>
      </c>
      <c r="G70" s="207">
        <v>0</v>
      </c>
      <c r="H70" s="207">
        <v>0</v>
      </c>
      <c r="I70" s="207">
        <v>0</v>
      </c>
      <c r="J70" s="207">
        <v>0</v>
      </c>
      <c r="K70" s="207">
        <v>0</v>
      </c>
      <c r="L70" s="207">
        <v>0</v>
      </c>
      <c r="M70" s="207">
        <v>0</v>
      </c>
      <c r="N70" s="207">
        <v>0</v>
      </c>
      <c r="O70" s="207">
        <v>0</v>
      </c>
      <c r="P70" s="207">
        <v>0</v>
      </c>
      <c r="Q70" s="207">
        <v>0</v>
      </c>
      <c r="S70" s="168"/>
      <c r="T70" s="81"/>
      <c r="U70" s="81"/>
      <c r="V70" s="81"/>
      <c r="W70" s="81"/>
      <c r="X70" s="81"/>
      <c r="Y70" s="81"/>
      <c r="Z70" s="81"/>
      <c r="AA70" s="81"/>
      <c r="AB70" s="81"/>
      <c r="AC70" s="81"/>
      <c r="AD70" s="81"/>
      <c r="AE70" s="81"/>
      <c r="AF70" s="81"/>
      <c r="AG70" s="81"/>
      <c r="AH70" s="81"/>
      <c r="AI70" s="81"/>
      <c r="AJ70" s="81"/>
      <c r="AK70" s="81"/>
      <c r="AL70" s="81"/>
      <c r="AM70" s="81"/>
      <c r="AN70" s="81"/>
    </row>
    <row r="71" spans="1:40" s="9" customFormat="1" ht="23.65" customHeight="1" x14ac:dyDescent="0.3">
      <c r="A71" s="896" t="s">
        <v>304</v>
      </c>
      <c r="B71" s="2358" t="s">
        <v>156</v>
      </c>
      <c r="C71" s="2350"/>
      <c r="D71" s="209">
        <f t="shared" si="1"/>
        <v>0</v>
      </c>
      <c r="E71" s="209">
        <f t="shared" si="2"/>
        <v>0</v>
      </c>
      <c r="F71" s="898">
        <f>SUM(F72,F73,F74,F75,F76)</f>
        <v>0</v>
      </c>
      <c r="G71" s="898">
        <f t="shared" ref="G71:Q71" si="9">SUM(G72,G73,G74,G75,G76)</f>
        <v>0</v>
      </c>
      <c r="H71" s="898">
        <f>SUM(H72,H73,H74,H75,H76)</f>
        <v>0</v>
      </c>
      <c r="I71" s="898">
        <f t="shared" si="9"/>
        <v>0</v>
      </c>
      <c r="J71" s="898">
        <f t="shared" si="9"/>
        <v>0</v>
      </c>
      <c r="K71" s="898">
        <f t="shared" si="9"/>
        <v>0</v>
      </c>
      <c r="L71" s="898">
        <f>SUM(L72,L73,L74,L75,L76)</f>
        <v>0</v>
      </c>
      <c r="M71" s="898">
        <f>SUM(M72,M73,M74,M75,M76)</f>
        <v>0</v>
      </c>
      <c r="N71" s="898">
        <f t="shared" si="9"/>
        <v>0</v>
      </c>
      <c r="O71" s="898">
        <f>SUM(O72,O73,O74,O75,O76)</f>
        <v>0</v>
      </c>
      <c r="P71" s="898">
        <f t="shared" si="9"/>
        <v>0</v>
      </c>
      <c r="Q71" s="899">
        <f t="shared" si="9"/>
        <v>0</v>
      </c>
      <c r="S71" s="169"/>
      <c r="T71" s="81"/>
      <c r="U71" s="81"/>
      <c r="V71" s="81"/>
      <c r="W71" s="81"/>
      <c r="X71" s="81"/>
      <c r="Y71" s="81"/>
      <c r="Z71" s="81"/>
      <c r="AA71" s="81"/>
      <c r="AB71" s="81"/>
      <c r="AC71" s="81"/>
      <c r="AD71" s="81"/>
      <c r="AE71" s="81"/>
      <c r="AF71" s="81"/>
      <c r="AG71" s="81"/>
      <c r="AH71" s="81"/>
      <c r="AI71" s="81"/>
      <c r="AJ71" s="81"/>
      <c r="AK71" s="81"/>
      <c r="AL71" s="81"/>
      <c r="AM71" s="81"/>
      <c r="AN71" s="81"/>
    </row>
    <row r="72" spans="1:40" s="9" customFormat="1" ht="23.1" customHeight="1" x14ac:dyDescent="0.3">
      <c r="A72" s="896" t="s">
        <v>305</v>
      </c>
      <c r="B72" s="2362" t="s">
        <v>151</v>
      </c>
      <c r="C72" s="2351"/>
      <c r="D72" s="162">
        <f t="shared" si="1"/>
        <v>0</v>
      </c>
      <c r="E72" s="162">
        <f t="shared" si="2"/>
        <v>0</v>
      </c>
      <c r="F72" s="207">
        <v>0</v>
      </c>
      <c r="G72" s="207">
        <v>0</v>
      </c>
      <c r="H72" s="941" t="s">
        <v>296</v>
      </c>
      <c r="I72" s="941" t="s">
        <v>296</v>
      </c>
      <c r="J72" s="941" t="s">
        <v>296</v>
      </c>
      <c r="K72" s="941" t="s">
        <v>296</v>
      </c>
      <c r="L72" s="941" t="s">
        <v>296</v>
      </c>
      <c r="M72" s="941" t="s">
        <v>296</v>
      </c>
      <c r="N72" s="207">
        <v>0</v>
      </c>
      <c r="O72" s="207">
        <v>0</v>
      </c>
      <c r="P72" s="207">
        <v>0</v>
      </c>
      <c r="Q72" s="397">
        <v>0</v>
      </c>
      <c r="S72" s="166"/>
      <c r="T72" s="81"/>
      <c r="U72" s="81"/>
      <c r="V72" s="81"/>
      <c r="W72" s="81"/>
      <c r="X72" s="81"/>
      <c r="Y72" s="81"/>
      <c r="Z72" s="81"/>
      <c r="AA72" s="81"/>
      <c r="AB72" s="81"/>
      <c r="AC72" s="81"/>
      <c r="AD72" s="81"/>
      <c r="AE72" s="81"/>
      <c r="AF72" s="81"/>
      <c r="AG72" s="81"/>
      <c r="AH72" s="81"/>
      <c r="AI72" s="81"/>
      <c r="AJ72" s="81"/>
      <c r="AK72" s="81"/>
      <c r="AL72" s="81"/>
      <c r="AM72" s="81"/>
      <c r="AN72" s="81"/>
    </row>
    <row r="73" spans="1:40" s="9" customFormat="1" ht="23.1" customHeight="1" x14ac:dyDescent="0.3">
      <c r="A73" s="896" t="s">
        <v>306</v>
      </c>
      <c r="B73" s="2362" t="s">
        <v>154</v>
      </c>
      <c r="C73" s="2351"/>
      <c r="D73" s="162">
        <f t="shared" si="1"/>
        <v>0</v>
      </c>
      <c r="E73" s="162">
        <f t="shared" si="2"/>
        <v>0</v>
      </c>
      <c r="F73" s="207">
        <v>0</v>
      </c>
      <c r="G73" s="207">
        <v>0</v>
      </c>
      <c r="H73" s="941" t="s">
        <v>296</v>
      </c>
      <c r="I73" s="941" t="s">
        <v>296</v>
      </c>
      <c r="J73" s="207">
        <v>0</v>
      </c>
      <c r="K73" s="207">
        <v>0</v>
      </c>
      <c r="L73" s="207">
        <v>0</v>
      </c>
      <c r="M73" s="207">
        <v>0</v>
      </c>
      <c r="N73" s="207">
        <v>0</v>
      </c>
      <c r="O73" s="207">
        <v>0</v>
      </c>
      <c r="P73" s="207">
        <v>0</v>
      </c>
      <c r="Q73" s="397">
        <v>0</v>
      </c>
      <c r="S73" s="166"/>
      <c r="T73" s="81"/>
      <c r="U73" s="81"/>
      <c r="V73" s="81"/>
      <c r="W73" s="81"/>
      <c r="X73" s="81"/>
      <c r="Y73" s="81"/>
      <c r="Z73" s="81"/>
      <c r="AA73" s="81"/>
      <c r="AB73" s="81"/>
      <c r="AC73" s="81"/>
      <c r="AD73" s="81"/>
      <c r="AE73" s="81"/>
      <c r="AF73" s="81"/>
      <c r="AG73" s="81"/>
      <c r="AH73" s="81"/>
      <c r="AI73" s="81"/>
      <c r="AJ73" s="81"/>
      <c r="AK73" s="81"/>
      <c r="AL73" s="81"/>
      <c r="AM73" s="81"/>
      <c r="AN73" s="81"/>
    </row>
    <row r="74" spans="1:40" s="9" customFormat="1" ht="23.1" customHeight="1" x14ac:dyDescent="0.3">
      <c r="A74" s="896" t="s">
        <v>307</v>
      </c>
      <c r="B74" s="2362" t="s">
        <v>223</v>
      </c>
      <c r="C74" s="2351"/>
      <c r="D74" s="162">
        <f t="shared" si="1"/>
        <v>0</v>
      </c>
      <c r="E74" s="162">
        <f t="shared" si="2"/>
        <v>0</v>
      </c>
      <c r="F74" s="207">
        <v>0</v>
      </c>
      <c r="G74" s="207">
        <v>0</v>
      </c>
      <c r="H74" s="941" t="s">
        <v>296</v>
      </c>
      <c r="I74" s="941" t="s">
        <v>296</v>
      </c>
      <c r="J74" s="207">
        <v>0</v>
      </c>
      <c r="K74" s="207">
        <v>0</v>
      </c>
      <c r="L74" s="207">
        <v>0</v>
      </c>
      <c r="M74" s="207">
        <v>0</v>
      </c>
      <c r="N74" s="207">
        <v>0</v>
      </c>
      <c r="O74" s="207">
        <v>0</v>
      </c>
      <c r="P74" s="207">
        <v>0</v>
      </c>
      <c r="Q74" s="397">
        <v>0</v>
      </c>
      <c r="S74" s="166"/>
      <c r="T74" s="81"/>
      <c r="U74" s="81"/>
      <c r="V74" s="81"/>
      <c r="W74" s="81"/>
      <c r="X74" s="81"/>
      <c r="Y74" s="81"/>
      <c r="Z74" s="81"/>
      <c r="AA74" s="81"/>
      <c r="AB74" s="81"/>
      <c r="AC74" s="81"/>
      <c r="AD74" s="81"/>
      <c r="AE74" s="81"/>
      <c r="AF74" s="81"/>
      <c r="AG74" s="81"/>
      <c r="AH74" s="81"/>
      <c r="AI74" s="81"/>
      <c r="AJ74" s="81"/>
      <c r="AK74" s="81"/>
      <c r="AL74" s="81"/>
      <c r="AM74" s="81"/>
      <c r="AN74" s="81"/>
    </row>
    <row r="75" spans="1:40" s="9" customFormat="1" ht="23.1" customHeight="1" x14ac:dyDescent="0.3">
      <c r="A75" s="896" t="s">
        <v>308</v>
      </c>
      <c r="B75" s="2376" t="s">
        <v>226</v>
      </c>
      <c r="C75" s="2377"/>
      <c r="D75" s="162">
        <f t="shared" si="1"/>
        <v>0</v>
      </c>
      <c r="E75" s="162">
        <f t="shared" si="2"/>
        <v>0</v>
      </c>
      <c r="F75" s="207">
        <v>0</v>
      </c>
      <c r="G75" s="207">
        <v>0</v>
      </c>
      <c r="H75" s="941" t="s">
        <v>296</v>
      </c>
      <c r="I75" s="941" t="s">
        <v>296</v>
      </c>
      <c r="J75" s="207">
        <v>0</v>
      </c>
      <c r="K75" s="207">
        <v>0</v>
      </c>
      <c r="L75" s="207">
        <v>0</v>
      </c>
      <c r="M75" s="207">
        <v>0</v>
      </c>
      <c r="N75" s="207">
        <v>0</v>
      </c>
      <c r="O75" s="207">
        <v>0</v>
      </c>
      <c r="P75" s="207">
        <v>0</v>
      </c>
      <c r="Q75" s="397">
        <v>0</v>
      </c>
      <c r="S75" s="166"/>
      <c r="T75" s="81"/>
      <c r="U75" s="81"/>
      <c r="V75" s="81"/>
      <c r="W75" s="81"/>
      <c r="X75" s="81"/>
      <c r="Y75" s="81"/>
      <c r="Z75" s="81"/>
      <c r="AA75" s="81"/>
      <c r="AB75" s="81"/>
      <c r="AC75" s="81"/>
      <c r="AD75" s="81"/>
      <c r="AE75" s="81"/>
      <c r="AF75" s="81"/>
      <c r="AG75" s="81"/>
      <c r="AH75" s="81"/>
      <c r="AI75" s="81"/>
      <c r="AJ75" s="81"/>
      <c r="AK75" s="81"/>
      <c r="AL75" s="81"/>
      <c r="AM75" s="81"/>
      <c r="AN75" s="81"/>
    </row>
    <row r="76" spans="1:40" s="9" customFormat="1" ht="23.1" customHeight="1" thickBot="1" x14ac:dyDescent="0.35">
      <c r="A76" s="896" t="s">
        <v>309</v>
      </c>
      <c r="B76" s="2363" t="s">
        <v>153</v>
      </c>
      <c r="C76" s="2364"/>
      <c r="D76" s="1022">
        <f t="shared" si="1"/>
        <v>0</v>
      </c>
      <c r="E76" s="1022">
        <f t="shared" si="2"/>
        <v>0</v>
      </c>
      <c r="F76" s="62">
        <v>0</v>
      </c>
      <c r="G76" s="62">
        <v>0</v>
      </c>
      <c r="H76" s="944" t="s">
        <v>296</v>
      </c>
      <c r="I76" s="944" t="s">
        <v>296</v>
      </c>
      <c r="J76" s="62">
        <v>0</v>
      </c>
      <c r="K76" s="62">
        <v>0</v>
      </c>
      <c r="L76" s="62">
        <v>0</v>
      </c>
      <c r="M76" s="62">
        <v>0</v>
      </c>
      <c r="N76" s="62">
        <v>0</v>
      </c>
      <c r="O76" s="62">
        <v>0</v>
      </c>
      <c r="P76" s="62">
        <v>0</v>
      </c>
      <c r="Q76" s="63">
        <v>0</v>
      </c>
      <c r="S76" s="166"/>
      <c r="T76" s="81"/>
      <c r="U76" s="81"/>
      <c r="V76" s="81"/>
      <c r="W76" s="81"/>
      <c r="X76" s="81"/>
      <c r="Y76" s="81"/>
      <c r="Z76" s="81"/>
      <c r="AA76" s="81"/>
      <c r="AB76" s="81"/>
      <c r="AC76" s="81"/>
      <c r="AD76" s="81"/>
      <c r="AE76" s="81"/>
      <c r="AF76" s="81"/>
      <c r="AG76" s="81"/>
      <c r="AH76" s="81"/>
      <c r="AI76" s="81"/>
      <c r="AJ76" s="81"/>
      <c r="AK76" s="81"/>
      <c r="AL76" s="81"/>
      <c r="AM76" s="81"/>
      <c r="AN76" s="81"/>
    </row>
    <row r="77" spans="1:40" s="9" customFormat="1" ht="23.1" customHeight="1" x14ac:dyDescent="0.3">
      <c r="A77" s="379" t="s">
        <v>310</v>
      </c>
      <c r="B77" s="2361" t="s">
        <v>31</v>
      </c>
      <c r="C77" s="2361"/>
      <c r="D77" s="1021">
        <f t="shared" si="1"/>
        <v>0</v>
      </c>
      <c r="E77" s="1021">
        <f t="shared" si="2"/>
        <v>0</v>
      </c>
      <c r="F77" s="897">
        <v>0</v>
      </c>
      <c r="G77" s="897">
        <v>0</v>
      </c>
      <c r="H77" s="381" t="s">
        <v>296</v>
      </c>
      <c r="I77" s="381" t="s">
        <v>296</v>
      </c>
      <c r="J77" s="897">
        <v>0</v>
      </c>
      <c r="K77" s="897">
        <v>0</v>
      </c>
      <c r="L77" s="897">
        <v>0</v>
      </c>
      <c r="M77" s="897">
        <v>0</v>
      </c>
      <c r="N77" s="897">
        <v>0</v>
      </c>
      <c r="O77" s="897">
        <v>0</v>
      </c>
      <c r="P77" s="897">
        <v>0</v>
      </c>
      <c r="Q77" s="897">
        <v>0</v>
      </c>
      <c r="S77" s="166"/>
      <c r="T77" s="81"/>
      <c r="U77" s="81"/>
      <c r="V77" s="81"/>
      <c r="W77" s="81"/>
      <c r="X77" s="81"/>
      <c r="Y77" s="81"/>
      <c r="Z77" s="81"/>
      <c r="AA77" s="81"/>
      <c r="AB77" s="81"/>
      <c r="AC77" s="81"/>
      <c r="AD77" s="81"/>
      <c r="AE77" s="81"/>
      <c r="AF77" s="81"/>
      <c r="AG77" s="81"/>
      <c r="AH77" s="81"/>
      <c r="AI77" s="81"/>
      <c r="AJ77" s="81"/>
      <c r="AK77" s="81"/>
      <c r="AL77" s="81"/>
      <c r="AM77" s="81"/>
      <c r="AN77" s="81"/>
    </row>
    <row r="78" spans="1:40" s="9" customFormat="1" ht="23.1" customHeight="1" x14ac:dyDescent="0.3">
      <c r="A78" s="379" t="s">
        <v>311</v>
      </c>
      <c r="B78" s="2187" t="s">
        <v>150</v>
      </c>
      <c r="C78" s="2187"/>
      <c r="D78" s="162">
        <f t="shared" si="1"/>
        <v>0</v>
      </c>
      <c r="E78" s="162">
        <f t="shared" si="2"/>
        <v>0</v>
      </c>
      <c r="F78" s="207">
        <v>0</v>
      </c>
      <c r="G78" s="207">
        <v>0</v>
      </c>
      <c r="H78" s="206" t="s">
        <v>296</v>
      </c>
      <c r="I78" s="206" t="s">
        <v>296</v>
      </c>
      <c r="J78" s="207">
        <v>0</v>
      </c>
      <c r="K78" s="207">
        <v>0</v>
      </c>
      <c r="L78" s="207">
        <v>0</v>
      </c>
      <c r="M78" s="207">
        <v>0</v>
      </c>
      <c r="N78" s="207">
        <v>0</v>
      </c>
      <c r="O78" s="207">
        <v>0</v>
      </c>
      <c r="P78" s="207">
        <v>0</v>
      </c>
      <c r="Q78" s="207">
        <v>0</v>
      </c>
      <c r="S78" s="166"/>
      <c r="T78" s="81"/>
      <c r="U78" s="81"/>
      <c r="V78" s="81"/>
      <c r="W78" s="81"/>
      <c r="X78" s="81"/>
      <c r="Y78" s="81"/>
      <c r="Z78" s="81"/>
      <c r="AA78" s="81"/>
      <c r="AB78" s="81"/>
      <c r="AC78" s="81"/>
      <c r="AD78" s="81"/>
      <c r="AE78" s="81"/>
      <c r="AF78" s="81"/>
      <c r="AG78" s="81"/>
      <c r="AH78" s="81"/>
      <c r="AI78" s="81"/>
      <c r="AJ78" s="81"/>
      <c r="AK78" s="81"/>
      <c r="AL78" s="81"/>
      <c r="AM78" s="81"/>
      <c r="AN78" s="81"/>
    </row>
    <row r="79" spans="1:40" s="9" customFormat="1" ht="23.1" customHeight="1" x14ac:dyDescent="0.3">
      <c r="A79" s="379" t="s">
        <v>312</v>
      </c>
      <c r="B79" s="2225" t="s">
        <v>54</v>
      </c>
      <c r="C79" s="2225"/>
      <c r="D79" s="162">
        <f t="shared" si="1"/>
        <v>0</v>
      </c>
      <c r="E79" s="162">
        <f t="shared" si="2"/>
        <v>0</v>
      </c>
      <c r="F79" s="207">
        <v>0</v>
      </c>
      <c r="G79" s="207">
        <v>0</v>
      </c>
      <c r="H79" s="206" t="s">
        <v>296</v>
      </c>
      <c r="I79" s="206" t="s">
        <v>296</v>
      </c>
      <c r="J79" s="207">
        <v>0</v>
      </c>
      <c r="K79" s="207">
        <v>0</v>
      </c>
      <c r="L79" s="207">
        <v>0</v>
      </c>
      <c r="M79" s="207">
        <v>0</v>
      </c>
      <c r="N79" s="207">
        <v>0</v>
      </c>
      <c r="O79" s="207">
        <v>0</v>
      </c>
      <c r="P79" s="207">
        <v>0</v>
      </c>
      <c r="Q79" s="207">
        <v>0</v>
      </c>
      <c r="S79" s="166"/>
      <c r="T79" s="81"/>
      <c r="U79" s="81"/>
      <c r="V79" s="81"/>
      <c r="W79" s="81"/>
      <c r="X79" s="81"/>
      <c r="Y79" s="81"/>
      <c r="Z79" s="81"/>
      <c r="AA79" s="81"/>
      <c r="AB79" s="81"/>
      <c r="AC79" s="81"/>
      <c r="AD79" s="81"/>
      <c r="AE79" s="81"/>
      <c r="AF79" s="81"/>
      <c r="AG79" s="81"/>
      <c r="AH79" s="81"/>
      <c r="AI79" s="81"/>
      <c r="AJ79" s="81"/>
      <c r="AK79" s="81"/>
      <c r="AL79" s="81"/>
      <c r="AM79" s="81"/>
      <c r="AN79" s="81"/>
    </row>
    <row r="80" spans="1:40" s="9" customFormat="1" ht="23.1" customHeight="1" x14ac:dyDescent="0.3">
      <c r="A80" s="379" t="s">
        <v>313</v>
      </c>
      <c r="B80" s="2225" t="s">
        <v>42</v>
      </c>
      <c r="C80" s="2225"/>
      <c r="D80" s="162">
        <f t="shared" si="1"/>
        <v>0</v>
      </c>
      <c r="E80" s="162">
        <f t="shared" si="2"/>
        <v>0</v>
      </c>
      <c r="F80" s="207">
        <v>0</v>
      </c>
      <c r="G80" s="207">
        <v>0</v>
      </c>
      <c r="H80" s="206" t="s">
        <v>296</v>
      </c>
      <c r="I80" s="206" t="s">
        <v>296</v>
      </c>
      <c r="J80" s="207">
        <v>0</v>
      </c>
      <c r="K80" s="207">
        <v>0</v>
      </c>
      <c r="L80" s="207">
        <v>0</v>
      </c>
      <c r="M80" s="207">
        <v>0</v>
      </c>
      <c r="N80" s="207">
        <v>0</v>
      </c>
      <c r="O80" s="207">
        <v>0</v>
      </c>
      <c r="P80" s="207">
        <v>0</v>
      </c>
      <c r="Q80" s="207">
        <v>0</v>
      </c>
      <c r="S80" s="166"/>
      <c r="T80" s="81"/>
      <c r="U80" s="81"/>
      <c r="V80" s="81"/>
      <c r="W80" s="81"/>
      <c r="X80" s="81"/>
      <c r="Y80" s="81"/>
      <c r="Z80" s="81"/>
      <c r="AA80" s="81"/>
      <c r="AB80" s="81"/>
      <c r="AC80" s="81"/>
      <c r="AD80" s="81"/>
      <c r="AE80" s="81"/>
      <c r="AF80" s="81"/>
      <c r="AG80" s="81"/>
      <c r="AH80" s="81"/>
      <c r="AI80" s="81"/>
      <c r="AJ80" s="81"/>
      <c r="AK80" s="81"/>
      <c r="AL80" s="81"/>
      <c r="AM80" s="81"/>
      <c r="AN80" s="81"/>
    </row>
    <row r="81" spans="1:40" s="9" customFormat="1" ht="23.1" customHeight="1" x14ac:dyDescent="0.3">
      <c r="A81" s="379" t="s">
        <v>314</v>
      </c>
      <c r="B81" s="2225" t="s">
        <v>149</v>
      </c>
      <c r="C81" s="2225"/>
      <c r="D81" s="162">
        <f t="shared" si="1"/>
        <v>0</v>
      </c>
      <c r="E81" s="162">
        <f t="shared" si="2"/>
        <v>0</v>
      </c>
      <c r="F81" s="207">
        <v>0</v>
      </c>
      <c r="G81" s="207">
        <v>0</v>
      </c>
      <c r="H81" s="206" t="s">
        <v>296</v>
      </c>
      <c r="I81" s="206" t="s">
        <v>296</v>
      </c>
      <c r="J81" s="207">
        <v>0</v>
      </c>
      <c r="K81" s="207">
        <v>0</v>
      </c>
      <c r="L81" s="207">
        <v>0</v>
      </c>
      <c r="M81" s="207">
        <v>0</v>
      </c>
      <c r="N81" s="207">
        <v>0</v>
      </c>
      <c r="O81" s="207">
        <v>0</v>
      </c>
      <c r="P81" s="207">
        <v>0</v>
      </c>
      <c r="Q81" s="207">
        <v>0</v>
      </c>
      <c r="S81" s="166"/>
      <c r="T81" s="81"/>
      <c r="U81" s="81"/>
      <c r="V81" s="81"/>
      <c r="W81" s="81"/>
      <c r="X81" s="81"/>
      <c r="Y81" s="81"/>
      <c r="Z81" s="81"/>
      <c r="AA81" s="81"/>
      <c r="AB81" s="81"/>
      <c r="AC81" s="81"/>
      <c r="AD81" s="81"/>
      <c r="AE81" s="81"/>
      <c r="AF81" s="81"/>
      <c r="AG81" s="81"/>
      <c r="AH81" s="81"/>
      <c r="AI81" s="81"/>
      <c r="AJ81" s="81"/>
      <c r="AK81" s="81"/>
      <c r="AL81" s="81"/>
      <c r="AM81" s="81"/>
      <c r="AN81" s="81"/>
    </row>
    <row r="82" spans="1:40" s="9" customFormat="1" ht="23.1" customHeight="1" x14ac:dyDescent="0.3">
      <c r="A82" s="379" t="s">
        <v>315</v>
      </c>
      <c r="B82" s="2225" t="s">
        <v>155</v>
      </c>
      <c r="C82" s="2225"/>
      <c r="D82" s="162">
        <f t="shared" si="1"/>
        <v>0</v>
      </c>
      <c r="E82" s="162">
        <f t="shared" si="2"/>
        <v>0</v>
      </c>
      <c r="F82" s="207">
        <v>0</v>
      </c>
      <c r="G82" s="207">
        <v>0</v>
      </c>
      <c r="H82" s="206" t="s">
        <v>296</v>
      </c>
      <c r="I82" s="206" t="s">
        <v>296</v>
      </c>
      <c r="J82" s="207">
        <v>0</v>
      </c>
      <c r="K82" s="207">
        <v>0</v>
      </c>
      <c r="L82" s="207">
        <v>0</v>
      </c>
      <c r="M82" s="207">
        <v>0</v>
      </c>
      <c r="N82" s="207">
        <v>0</v>
      </c>
      <c r="O82" s="207">
        <v>0</v>
      </c>
      <c r="P82" s="207">
        <v>0</v>
      </c>
      <c r="Q82" s="207">
        <v>0</v>
      </c>
      <c r="S82" s="166"/>
      <c r="T82" s="81"/>
      <c r="U82" s="81"/>
      <c r="V82" s="81"/>
      <c r="W82" s="81"/>
      <c r="X82" s="81"/>
      <c r="Y82" s="81"/>
      <c r="Z82" s="81"/>
      <c r="AA82" s="81"/>
      <c r="AB82" s="81"/>
      <c r="AC82" s="81"/>
      <c r="AD82" s="81"/>
      <c r="AE82" s="81"/>
      <c r="AF82" s="81"/>
      <c r="AG82" s="81"/>
      <c r="AH82" s="81"/>
      <c r="AI82" s="81"/>
      <c r="AJ82" s="81"/>
      <c r="AK82" s="81"/>
      <c r="AL82" s="81"/>
      <c r="AM82" s="81"/>
      <c r="AN82" s="81"/>
    </row>
    <row r="83" spans="1:40" s="9" customFormat="1" ht="23.1" customHeight="1" x14ac:dyDescent="0.3">
      <c r="A83" s="379" t="s">
        <v>316</v>
      </c>
      <c r="B83" s="2187" t="s">
        <v>32</v>
      </c>
      <c r="C83" s="2187"/>
      <c r="D83" s="162">
        <f t="shared" si="1"/>
        <v>0</v>
      </c>
      <c r="E83" s="162">
        <f t="shared" si="2"/>
        <v>0</v>
      </c>
      <c r="F83" s="207">
        <v>0</v>
      </c>
      <c r="G83" s="207">
        <v>0</v>
      </c>
      <c r="H83" s="207">
        <v>0</v>
      </c>
      <c r="I83" s="207">
        <v>0</v>
      </c>
      <c r="J83" s="207">
        <v>0</v>
      </c>
      <c r="K83" s="207">
        <v>0</v>
      </c>
      <c r="L83" s="207">
        <v>0</v>
      </c>
      <c r="M83" s="207">
        <v>0</v>
      </c>
      <c r="N83" s="207">
        <v>0</v>
      </c>
      <c r="O83" s="207">
        <v>0</v>
      </c>
      <c r="P83" s="207">
        <v>0</v>
      </c>
      <c r="Q83" s="207">
        <v>0</v>
      </c>
      <c r="S83" s="166"/>
      <c r="T83" s="81"/>
      <c r="U83" s="81"/>
      <c r="V83" s="81"/>
      <c r="W83" s="81"/>
      <c r="X83" s="81"/>
      <c r="Y83" s="81"/>
      <c r="Z83" s="81"/>
      <c r="AA83" s="81"/>
      <c r="AB83" s="81"/>
      <c r="AC83" s="81"/>
      <c r="AD83" s="81"/>
      <c r="AE83" s="81"/>
      <c r="AF83" s="81"/>
      <c r="AG83" s="81"/>
      <c r="AH83" s="81"/>
      <c r="AI83" s="81"/>
      <c r="AJ83" s="81"/>
      <c r="AK83" s="81"/>
      <c r="AL83" s="81"/>
      <c r="AM83" s="81"/>
      <c r="AN83" s="81"/>
    </row>
    <row r="84" spans="1:40" s="9" customFormat="1" ht="23.1" customHeight="1" x14ac:dyDescent="0.3">
      <c r="A84" s="379" t="s">
        <v>317</v>
      </c>
      <c r="B84" s="2354" t="s">
        <v>44</v>
      </c>
      <c r="C84" s="2354"/>
      <c r="D84" s="48">
        <f t="shared" si="1"/>
        <v>0</v>
      </c>
      <c r="E84" s="48">
        <f t="shared" si="2"/>
        <v>0</v>
      </c>
      <c r="F84" s="206" t="s">
        <v>296</v>
      </c>
      <c r="G84" s="206" t="s">
        <v>296</v>
      </c>
      <c r="H84" s="206" t="s">
        <v>296</v>
      </c>
      <c r="I84" s="206" t="s">
        <v>296</v>
      </c>
      <c r="J84" s="207">
        <v>0</v>
      </c>
      <c r="K84" s="207">
        <v>0</v>
      </c>
      <c r="L84" s="207">
        <v>0</v>
      </c>
      <c r="M84" s="207">
        <v>0</v>
      </c>
      <c r="N84" s="207">
        <v>0</v>
      </c>
      <c r="O84" s="207">
        <v>0</v>
      </c>
      <c r="P84" s="207">
        <v>0</v>
      </c>
      <c r="Q84" s="207">
        <v>0</v>
      </c>
      <c r="S84" s="166"/>
      <c r="T84" s="81"/>
      <c r="U84" s="81"/>
      <c r="V84" s="81"/>
      <c r="W84" s="81"/>
      <c r="X84" s="81"/>
      <c r="Y84" s="81"/>
      <c r="Z84" s="81"/>
      <c r="AA84" s="81"/>
      <c r="AB84" s="81"/>
      <c r="AC84" s="81"/>
      <c r="AD84" s="81"/>
      <c r="AE84" s="81"/>
      <c r="AF84" s="81"/>
      <c r="AG84" s="81"/>
      <c r="AH84" s="81"/>
      <c r="AI84" s="81"/>
      <c r="AJ84" s="81"/>
      <c r="AK84" s="81"/>
      <c r="AL84" s="81"/>
      <c r="AM84" s="81"/>
      <c r="AN84" s="81"/>
    </row>
    <row r="85" spans="1:40" s="9" customFormat="1" ht="23.1" customHeight="1" x14ac:dyDescent="0.3">
      <c r="A85" s="379" t="s">
        <v>318</v>
      </c>
      <c r="B85" s="2354" t="s">
        <v>45</v>
      </c>
      <c r="C85" s="2354"/>
      <c r="D85" s="48">
        <f t="shared" si="1"/>
        <v>0</v>
      </c>
      <c r="E85" s="48">
        <f t="shared" si="2"/>
        <v>0</v>
      </c>
      <c r="F85" s="206" t="s">
        <v>296</v>
      </c>
      <c r="G85" s="206" t="s">
        <v>296</v>
      </c>
      <c r="H85" s="206" t="s">
        <v>296</v>
      </c>
      <c r="I85" s="206" t="s">
        <v>296</v>
      </c>
      <c r="J85" s="207">
        <v>0</v>
      </c>
      <c r="K85" s="207">
        <v>0</v>
      </c>
      <c r="L85" s="207">
        <v>0</v>
      </c>
      <c r="M85" s="207">
        <v>0</v>
      </c>
      <c r="N85" s="207">
        <v>0</v>
      </c>
      <c r="O85" s="207">
        <v>0</v>
      </c>
      <c r="P85" s="207">
        <v>0</v>
      </c>
      <c r="Q85" s="207">
        <v>0</v>
      </c>
      <c r="S85" s="166"/>
      <c r="T85" s="81"/>
      <c r="U85" s="81"/>
      <c r="V85" s="81"/>
      <c r="W85" s="81"/>
      <c r="X85" s="81"/>
      <c r="Y85" s="81"/>
      <c r="Z85" s="81"/>
      <c r="AA85" s="81"/>
      <c r="AB85" s="81"/>
      <c r="AC85" s="81"/>
      <c r="AD85" s="81"/>
      <c r="AE85" s="81"/>
      <c r="AF85" s="81"/>
      <c r="AG85" s="81"/>
      <c r="AH85" s="81"/>
      <c r="AI85" s="81"/>
      <c r="AJ85" s="81"/>
      <c r="AK85" s="81"/>
      <c r="AL85" s="81"/>
      <c r="AM85" s="81"/>
      <c r="AN85" s="81"/>
    </row>
    <row r="86" spans="1:40" s="9" customFormat="1" ht="45" customHeight="1" x14ac:dyDescent="0.3">
      <c r="A86" s="651" t="s">
        <v>319</v>
      </c>
      <c r="B86" s="2369" t="s">
        <v>1251</v>
      </c>
      <c r="C86" s="2370"/>
      <c r="D86" s="162">
        <f>SUM(F86,J86,N86,P86,L86)</f>
        <v>0</v>
      </c>
      <c r="E86" s="162">
        <f>SUM(G86,K86,O86,Q86,M86)</f>
        <v>0</v>
      </c>
      <c r="F86" s="207">
        <v>0</v>
      </c>
      <c r="G86" s="207">
        <v>0</v>
      </c>
      <c r="H86" s="656" t="s">
        <v>296</v>
      </c>
      <c r="I86" s="656" t="s">
        <v>296</v>
      </c>
      <c r="J86" s="656" t="s">
        <v>296</v>
      </c>
      <c r="K86" s="656" t="s">
        <v>296</v>
      </c>
      <c r="L86" s="656" t="s">
        <v>296</v>
      </c>
      <c r="M86" s="656" t="s">
        <v>296</v>
      </c>
      <c r="N86" s="207">
        <v>0</v>
      </c>
      <c r="O86" s="207">
        <v>0</v>
      </c>
      <c r="P86" s="207">
        <v>0</v>
      </c>
      <c r="Q86" s="397">
        <v>0</v>
      </c>
      <c r="S86" s="166"/>
      <c r="T86" s="81"/>
      <c r="U86" s="81"/>
      <c r="V86" s="81"/>
      <c r="W86" s="81"/>
      <c r="X86" s="81"/>
      <c r="Y86" s="81"/>
      <c r="Z86" s="81"/>
      <c r="AA86" s="81"/>
      <c r="AB86" s="81"/>
      <c r="AC86" s="81"/>
      <c r="AD86" s="81"/>
      <c r="AE86" s="81"/>
      <c r="AF86" s="81"/>
      <c r="AG86" s="81"/>
      <c r="AH86" s="81"/>
      <c r="AI86" s="81"/>
      <c r="AJ86" s="81"/>
      <c r="AK86" s="81"/>
      <c r="AL86" s="81"/>
      <c r="AM86" s="81"/>
      <c r="AN86" s="81"/>
    </row>
    <row r="87" spans="1:40" s="31" customFormat="1" ht="23.1" customHeight="1" thickBot="1" x14ac:dyDescent="0.35">
      <c r="A87" s="651" t="s">
        <v>1229</v>
      </c>
      <c r="B87" s="2341" t="s">
        <v>46</v>
      </c>
      <c r="C87" s="2341"/>
      <c r="D87" s="1022">
        <f t="shared" si="1"/>
        <v>0</v>
      </c>
      <c r="E87" s="1022">
        <f t="shared" si="2"/>
        <v>1513206</v>
      </c>
      <c r="F87" s="62">
        <v>0</v>
      </c>
      <c r="G87" s="62">
        <f>1559306-781800+735700</f>
        <v>1513206</v>
      </c>
      <c r="H87" s="62">
        <v>0</v>
      </c>
      <c r="I87" s="212">
        <v>0</v>
      </c>
      <c r="J87" s="62">
        <v>0</v>
      </c>
      <c r="K87" s="62">
        <v>0</v>
      </c>
      <c r="L87" s="62">
        <v>0</v>
      </c>
      <c r="M87" s="62">
        <v>0</v>
      </c>
      <c r="N87" s="62">
        <v>0</v>
      </c>
      <c r="O87" s="207">
        <v>0</v>
      </c>
      <c r="P87" s="62">
        <v>0</v>
      </c>
      <c r="Q87" s="62">
        <v>0</v>
      </c>
      <c r="S87" s="166"/>
      <c r="T87" s="95"/>
      <c r="U87" s="95"/>
      <c r="V87" s="95"/>
      <c r="W87" s="95"/>
      <c r="X87" s="95"/>
      <c r="Y87" s="95"/>
      <c r="Z87" s="95"/>
      <c r="AA87" s="95"/>
      <c r="AB87" s="95"/>
      <c r="AC87" s="95"/>
      <c r="AD87" s="95"/>
      <c r="AE87" s="95"/>
      <c r="AF87" s="95"/>
      <c r="AG87" s="95"/>
      <c r="AH87" s="95"/>
      <c r="AI87" s="95"/>
      <c r="AJ87" s="95"/>
      <c r="AK87" s="95"/>
      <c r="AL87" s="95"/>
      <c r="AM87" s="95"/>
      <c r="AN87" s="95"/>
    </row>
    <row r="88" spans="1:40" s="9" customFormat="1" ht="23.1" customHeight="1" x14ac:dyDescent="0.3">
      <c r="A88" s="396" t="s">
        <v>1230</v>
      </c>
      <c r="B88" s="2371" t="s">
        <v>36</v>
      </c>
      <c r="C88" s="2371"/>
      <c r="D88" s="209">
        <f t="shared" si="1"/>
        <v>0</v>
      </c>
      <c r="E88" s="209">
        <f t="shared" si="2"/>
        <v>117974</v>
      </c>
      <c r="F88" s="209">
        <f>SUM(F89:F91)</f>
        <v>0</v>
      </c>
      <c r="G88" s="209">
        <f t="shared" ref="G88:Q88" si="10">SUM(G89:G91)</f>
        <v>38549</v>
      </c>
      <c r="H88" s="209">
        <f t="shared" si="10"/>
        <v>0</v>
      </c>
      <c r="I88" s="209">
        <f t="shared" si="10"/>
        <v>0</v>
      </c>
      <c r="J88" s="209">
        <f t="shared" si="10"/>
        <v>0</v>
      </c>
      <c r="K88" s="209">
        <f t="shared" si="10"/>
        <v>0</v>
      </c>
      <c r="L88" s="209">
        <f>SUM(L89:L91)</f>
        <v>0</v>
      </c>
      <c r="M88" s="209">
        <f>SUM(M89:M91)</f>
        <v>0</v>
      </c>
      <c r="N88" s="209">
        <f t="shared" si="10"/>
        <v>0</v>
      </c>
      <c r="O88" s="209">
        <f t="shared" si="10"/>
        <v>79425</v>
      </c>
      <c r="P88" s="209">
        <f t="shared" si="10"/>
        <v>0</v>
      </c>
      <c r="Q88" s="210">
        <f t="shared" si="10"/>
        <v>0</v>
      </c>
      <c r="S88" s="170"/>
      <c r="T88" s="81"/>
      <c r="U88" s="81"/>
      <c r="V88" s="81"/>
      <c r="W88" s="81"/>
      <c r="X88" s="81"/>
      <c r="Y88" s="81"/>
      <c r="Z88" s="81"/>
      <c r="AA88" s="81"/>
      <c r="AB88" s="81"/>
      <c r="AC88" s="81"/>
      <c r="AD88" s="81"/>
      <c r="AE88" s="81"/>
      <c r="AF88" s="81"/>
      <c r="AG88" s="81"/>
      <c r="AH88" s="81"/>
      <c r="AI88" s="81"/>
      <c r="AJ88" s="81"/>
      <c r="AK88" s="81"/>
      <c r="AL88" s="81"/>
      <c r="AM88" s="81"/>
      <c r="AN88" s="81"/>
    </row>
    <row r="89" spans="1:40" s="9" customFormat="1" ht="23.1" customHeight="1" x14ac:dyDescent="0.3">
      <c r="A89" s="213" t="s">
        <v>1231</v>
      </c>
      <c r="B89" s="2187" t="s">
        <v>193</v>
      </c>
      <c r="C89" s="2187"/>
      <c r="D89" s="162">
        <f t="shared" si="1"/>
        <v>0</v>
      </c>
      <c r="E89" s="162">
        <f t="shared" si="2"/>
        <v>38549</v>
      </c>
      <c r="F89" s="207">
        <v>0</v>
      </c>
      <c r="G89" s="207">
        <v>38549</v>
      </c>
      <c r="H89" s="207">
        <v>0</v>
      </c>
      <c r="I89" s="207">
        <v>0</v>
      </c>
      <c r="J89" s="207">
        <v>0</v>
      </c>
      <c r="K89" s="207">
        <v>0</v>
      </c>
      <c r="L89" s="207">
        <v>0</v>
      </c>
      <c r="M89" s="207">
        <v>0</v>
      </c>
      <c r="N89" s="207">
        <v>0</v>
      </c>
      <c r="O89" s="207">
        <v>0</v>
      </c>
      <c r="P89" s="207">
        <v>0</v>
      </c>
      <c r="Q89" s="207">
        <v>0</v>
      </c>
      <c r="S89" s="167"/>
      <c r="T89" s="81"/>
      <c r="U89" s="81"/>
      <c r="V89" s="81"/>
      <c r="W89" s="81"/>
      <c r="X89" s="81"/>
      <c r="Y89" s="81"/>
      <c r="Z89" s="81"/>
      <c r="AA89" s="81"/>
      <c r="AB89" s="81"/>
      <c r="AC89" s="81"/>
      <c r="AD89" s="81"/>
      <c r="AE89" s="81"/>
      <c r="AF89" s="81"/>
      <c r="AG89" s="81"/>
      <c r="AH89" s="81"/>
      <c r="AI89" s="81"/>
      <c r="AJ89" s="81"/>
      <c r="AK89" s="81"/>
      <c r="AL89" s="81"/>
      <c r="AM89" s="81"/>
      <c r="AN89" s="81"/>
    </row>
    <row r="90" spans="1:40" s="9" customFormat="1" ht="37.35" customHeight="1" x14ac:dyDescent="0.3">
      <c r="A90" s="213" t="s">
        <v>1232</v>
      </c>
      <c r="B90" s="2187" t="s">
        <v>194</v>
      </c>
      <c r="C90" s="2187"/>
      <c r="D90" s="162">
        <f t="shared" si="1"/>
        <v>0</v>
      </c>
      <c r="E90" s="162">
        <f t="shared" si="2"/>
        <v>79425</v>
      </c>
      <c r="F90" s="207">
        <v>0</v>
      </c>
      <c r="G90" s="207">
        <v>0</v>
      </c>
      <c r="H90" s="207">
        <v>0</v>
      </c>
      <c r="I90" s="207">
        <v>0</v>
      </c>
      <c r="J90" s="207">
        <v>0</v>
      </c>
      <c r="K90" s="207">
        <v>0</v>
      </c>
      <c r="L90" s="207">
        <v>0</v>
      </c>
      <c r="M90" s="207">
        <v>0</v>
      </c>
      <c r="N90" s="207">
        <v>0</v>
      </c>
      <c r="O90" s="207">
        <v>79425</v>
      </c>
      <c r="P90" s="207">
        <v>0</v>
      </c>
      <c r="Q90" s="207">
        <v>0</v>
      </c>
      <c r="S90" s="167"/>
      <c r="T90" s="81"/>
      <c r="U90" s="81"/>
      <c r="V90" s="81"/>
      <c r="W90" s="81"/>
      <c r="X90" s="81"/>
      <c r="Y90" s="81"/>
      <c r="Z90" s="81"/>
      <c r="AA90" s="81"/>
      <c r="AB90" s="81"/>
      <c r="AC90" s="81"/>
      <c r="AD90" s="81"/>
      <c r="AE90" s="81"/>
      <c r="AF90" s="81"/>
      <c r="AG90" s="81"/>
      <c r="AH90" s="81"/>
      <c r="AI90" s="81"/>
      <c r="AJ90" s="81"/>
      <c r="AK90" s="81"/>
      <c r="AL90" s="81"/>
      <c r="AM90" s="81"/>
      <c r="AN90" s="81"/>
    </row>
    <row r="91" spans="1:40" s="9" customFormat="1" ht="23.1" customHeight="1" thickBot="1" x14ac:dyDescent="0.35">
      <c r="A91" s="214" t="s">
        <v>1233</v>
      </c>
      <c r="B91" s="2222" t="s">
        <v>195</v>
      </c>
      <c r="C91" s="2222"/>
      <c r="D91" s="1022">
        <f t="shared" si="1"/>
        <v>0</v>
      </c>
      <c r="E91" s="1022">
        <f t="shared" si="2"/>
        <v>0</v>
      </c>
      <c r="F91" s="62">
        <v>0</v>
      </c>
      <c r="G91" s="207"/>
      <c r="H91" s="215" t="s">
        <v>296</v>
      </c>
      <c r="I91" s="215" t="s">
        <v>296</v>
      </c>
      <c r="J91" s="62">
        <v>0</v>
      </c>
      <c r="K91" s="207">
        <v>0</v>
      </c>
      <c r="L91" s="62">
        <v>0</v>
      </c>
      <c r="M91" s="62">
        <v>0</v>
      </c>
      <c r="N91" s="62">
        <v>0</v>
      </c>
      <c r="O91" s="62">
        <v>0</v>
      </c>
      <c r="P91" s="62">
        <v>0</v>
      </c>
      <c r="Q91" s="63">
        <v>0</v>
      </c>
      <c r="S91" s="167"/>
      <c r="T91" s="81"/>
      <c r="U91" s="81"/>
      <c r="V91" s="81"/>
      <c r="W91" s="81"/>
      <c r="X91" s="81"/>
      <c r="Y91" s="81"/>
      <c r="Z91" s="81"/>
      <c r="AA91" s="81"/>
      <c r="AB91" s="81"/>
      <c r="AC91" s="81"/>
      <c r="AD91" s="81"/>
      <c r="AE91" s="81"/>
      <c r="AF91" s="81"/>
      <c r="AG91" s="81"/>
      <c r="AH91" s="81"/>
      <c r="AI91" s="81"/>
      <c r="AJ91" s="81"/>
      <c r="AK91" s="81"/>
      <c r="AL91" s="81"/>
      <c r="AM91" s="81"/>
      <c r="AN91" s="81"/>
    </row>
    <row r="92" spans="1:40" s="9" customFormat="1" ht="23.1" customHeight="1" thickBot="1" x14ac:dyDescent="0.35">
      <c r="A92" s="216" t="s">
        <v>185</v>
      </c>
      <c r="B92" s="2365" t="s">
        <v>55</v>
      </c>
      <c r="C92" s="2365"/>
      <c r="D92" s="217">
        <v>0</v>
      </c>
      <c r="E92" s="217">
        <v>0</v>
      </c>
      <c r="F92" s="218" t="s">
        <v>296</v>
      </c>
      <c r="G92" s="218" t="s">
        <v>296</v>
      </c>
      <c r="H92" s="218" t="s">
        <v>296</v>
      </c>
      <c r="I92" s="218" t="s">
        <v>296</v>
      </c>
      <c r="J92" s="218" t="s">
        <v>296</v>
      </c>
      <c r="K92" s="218" t="s">
        <v>296</v>
      </c>
      <c r="L92" s="218" t="s">
        <v>296</v>
      </c>
      <c r="M92" s="218" t="s">
        <v>296</v>
      </c>
      <c r="N92" s="218" t="s">
        <v>296</v>
      </c>
      <c r="O92" s="218" t="s">
        <v>296</v>
      </c>
      <c r="P92" s="218" t="s">
        <v>296</v>
      </c>
      <c r="Q92" s="219" t="s">
        <v>296</v>
      </c>
      <c r="S92" s="167"/>
      <c r="T92" s="81"/>
      <c r="U92" s="81"/>
      <c r="V92" s="81"/>
      <c r="W92" s="81"/>
      <c r="X92" s="81"/>
      <c r="Y92" s="81"/>
      <c r="Z92" s="81"/>
      <c r="AA92" s="81"/>
      <c r="AB92" s="81"/>
      <c r="AC92" s="81"/>
      <c r="AD92" s="81"/>
      <c r="AE92" s="81"/>
      <c r="AF92" s="81"/>
      <c r="AG92" s="81"/>
      <c r="AH92" s="81"/>
      <c r="AI92" s="81"/>
      <c r="AJ92" s="81"/>
      <c r="AK92" s="81"/>
      <c r="AL92" s="81"/>
      <c r="AM92" s="81"/>
      <c r="AN92" s="81"/>
    </row>
    <row r="93" spans="1:40" s="9" customFormat="1" ht="23.1" customHeight="1" x14ac:dyDescent="0.3">
      <c r="A93" s="668" t="s">
        <v>1411</v>
      </c>
      <c r="B93" s="667"/>
      <c r="C93" s="667"/>
      <c r="D93" s="169"/>
      <c r="E93" s="169"/>
      <c r="F93" s="167"/>
      <c r="G93" s="167"/>
      <c r="H93" s="167"/>
      <c r="I93" s="167"/>
      <c r="J93" s="167"/>
      <c r="K93" s="167"/>
      <c r="L93" s="167"/>
      <c r="M93" s="167"/>
      <c r="N93" s="167"/>
      <c r="O93" s="167"/>
      <c r="P93" s="167"/>
      <c r="Q93" s="167"/>
      <c r="S93" s="167"/>
      <c r="T93" s="81"/>
      <c r="U93" s="81"/>
      <c r="V93" s="81"/>
      <c r="W93" s="81"/>
      <c r="X93" s="81"/>
      <c r="Y93" s="81"/>
      <c r="Z93" s="81"/>
      <c r="AA93" s="81"/>
      <c r="AB93" s="81"/>
      <c r="AC93" s="81"/>
      <c r="AD93" s="81"/>
      <c r="AE93" s="81"/>
      <c r="AF93" s="81"/>
      <c r="AG93" s="81"/>
      <c r="AH93" s="81"/>
      <c r="AI93" s="81"/>
      <c r="AJ93" s="81"/>
      <c r="AK93" s="81"/>
      <c r="AL93" s="81"/>
      <c r="AM93" s="81"/>
      <c r="AN93" s="81"/>
    </row>
    <row r="94" spans="1:40" ht="24.6" customHeight="1" thickBot="1" x14ac:dyDescent="0.3">
      <c r="A94" s="2359" t="s">
        <v>519</v>
      </c>
      <c r="B94" s="2359"/>
      <c r="C94" s="2359"/>
      <c r="D94" s="2359"/>
      <c r="E94" s="26"/>
      <c r="F94" s="26"/>
      <c r="G94" s="26"/>
      <c r="H94" s="26"/>
      <c r="K94" s="89"/>
      <c r="L94" s="89"/>
      <c r="M94" s="89"/>
      <c r="N94" s="89"/>
      <c r="O94" s="111"/>
      <c r="P94" s="111"/>
      <c r="Q94" s="87"/>
      <c r="R94" s="84"/>
      <c r="S94" s="85"/>
    </row>
    <row r="95" spans="1:40" ht="43.35" customHeight="1" x14ac:dyDescent="0.25">
      <c r="A95" s="376" t="s">
        <v>38</v>
      </c>
      <c r="B95" s="2360" t="s">
        <v>275</v>
      </c>
      <c r="C95" s="2360"/>
      <c r="D95" s="2360"/>
      <c r="E95" s="377" t="s">
        <v>87</v>
      </c>
      <c r="F95" s="59" t="s">
        <v>297</v>
      </c>
      <c r="G95" s="377" t="s">
        <v>8</v>
      </c>
      <c r="H95" s="60" t="s">
        <v>297</v>
      </c>
      <c r="I95" s="171"/>
      <c r="J95" s="172"/>
      <c r="K95" s="85"/>
      <c r="L95" s="85"/>
      <c r="M95" s="85"/>
    </row>
    <row r="96" spans="1:40" ht="16.899999999999999" customHeight="1" x14ac:dyDescent="0.25">
      <c r="A96" s="245" t="s">
        <v>9</v>
      </c>
      <c r="B96" s="2372">
        <v>2</v>
      </c>
      <c r="C96" s="2373"/>
      <c r="D96" s="2374"/>
      <c r="E96" s="375">
        <v>3</v>
      </c>
      <c r="F96" s="246">
        <v>4</v>
      </c>
      <c r="G96" s="375">
        <v>5</v>
      </c>
      <c r="H96" s="247">
        <v>6</v>
      </c>
      <c r="I96" s="171"/>
      <c r="J96" s="172"/>
      <c r="K96" s="85"/>
      <c r="L96" s="85"/>
      <c r="M96" s="85"/>
    </row>
    <row r="97" spans="1:40" ht="23.65" customHeight="1" x14ac:dyDescent="0.3">
      <c r="A97" s="29" t="s">
        <v>321</v>
      </c>
      <c r="B97" s="2187" t="s">
        <v>218</v>
      </c>
      <c r="C97" s="2187"/>
      <c r="D97" s="2187"/>
      <c r="E97" s="162">
        <f>E98+E99+E100+E102+E103+E101</f>
        <v>0</v>
      </c>
      <c r="F97" s="162" t="e">
        <f t="shared" ref="F97:F103" si="11">E97/$E$97</f>
        <v>#DIV/0!</v>
      </c>
      <c r="G97" s="162">
        <f>G98+G99+G100+G102+G103+G101</f>
        <v>33116604</v>
      </c>
      <c r="H97" s="162">
        <f t="shared" ref="H97:H103" si="12">G97/$G$97</f>
        <v>1</v>
      </c>
      <c r="I97" s="173"/>
      <c r="J97" s="174"/>
      <c r="K97" s="85"/>
      <c r="L97" s="85"/>
      <c r="M97" s="85"/>
    </row>
    <row r="98" spans="1:40" ht="23.65" customHeight="1" x14ac:dyDescent="0.3">
      <c r="A98" s="29" t="s">
        <v>322</v>
      </c>
      <c r="B98" s="2187" t="s">
        <v>189</v>
      </c>
      <c r="C98" s="2187"/>
      <c r="D98" s="2187"/>
      <c r="E98" s="162">
        <f>D42</f>
        <v>0</v>
      </c>
      <c r="F98" s="162" t="e">
        <f t="shared" si="11"/>
        <v>#DIV/0!</v>
      </c>
      <c r="G98" s="162">
        <f>E42</f>
        <v>10437606</v>
      </c>
      <c r="H98" s="162">
        <f t="shared" si="12"/>
        <v>0.31517742580126873</v>
      </c>
      <c r="I98" s="173"/>
      <c r="J98" s="174"/>
      <c r="K98" s="85"/>
      <c r="L98" s="85"/>
      <c r="M98" s="85"/>
    </row>
    <row r="99" spans="1:40" ht="23.65" customHeight="1" x14ac:dyDescent="0.3">
      <c r="A99" s="29" t="s">
        <v>323</v>
      </c>
      <c r="B99" s="2187" t="s">
        <v>190</v>
      </c>
      <c r="C99" s="2187"/>
      <c r="D99" s="2187"/>
      <c r="E99" s="162">
        <f>D39</f>
        <v>0</v>
      </c>
      <c r="F99" s="162" t="e">
        <f t="shared" si="11"/>
        <v>#DIV/0!</v>
      </c>
      <c r="G99" s="162">
        <f>E39</f>
        <v>16891504</v>
      </c>
      <c r="H99" s="162">
        <f t="shared" si="12"/>
        <v>0.51006147852599859</v>
      </c>
      <c r="I99" s="173"/>
      <c r="J99" s="174"/>
      <c r="K99" s="85"/>
      <c r="L99" s="85"/>
      <c r="M99" s="85"/>
    </row>
    <row r="100" spans="1:40" ht="23.65" customHeight="1" x14ac:dyDescent="0.3">
      <c r="A100" s="29" t="s">
        <v>324</v>
      </c>
      <c r="B100" s="2187" t="s">
        <v>191</v>
      </c>
      <c r="C100" s="2187"/>
      <c r="D100" s="2187"/>
      <c r="E100" s="162">
        <f>D40</f>
        <v>0</v>
      </c>
      <c r="F100" s="162" t="e">
        <f t="shared" si="11"/>
        <v>#DIV/0!</v>
      </c>
      <c r="G100" s="162">
        <f>E40</f>
        <v>3761579</v>
      </c>
      <c r="H100" s="162">
        <f t="shared" si="12"/>
        <v>0.11358589183842643</v>
      </c>
      <c r="I100" s="173"/>
      <c r="J100" s="174"/>
      <c r="K100" s="85"/>
      <c r="L100" s="85"/>
      <c r="M100" s="85"/>
    </row>
    <row r="101" spans="1:40" ht="23.65" customHeight="1" x14ac:dyDescent="0.3">
      <c r="A101" s="29" t="s">
        <v>325</v>
      </c>
      <c r="B101" s="2188" t="str">
        <f>B41</f>
        <v>Соціальне забезпечення (у тому пільгові пенсії)</v>
      </c>
      <c r="C101" s="2367"/>
      <c r="D101" s="2368"/>
      <c r="E101" s="162">
        <f>D41</f>
        <v>0</v>
      </c>
      <c r="F101" s="162" t="e">
        <f t="shared" si="11"/>
        <v>#DIV/0!</v>
      </c>
      <c r="G101" s="162">
        <f>E41</f>
        <v>0</v>
      </c>
      <c r="H101" s="162">
        <f t="shared" si="12"/>
        <v>0</v>
      </c>
      <c r="I101" s="45"/>
      <c r="J101" s="175"/>
      <c r="K101" s="85"/>
      <c r="L101" s="85"/>
      <c r="M101" s="85"/>
    </row>
    <row r="102" spans="1:40" ht="23.65" customHeight="1" x14ac:dyDescent="0.3">
      <c r="A102" s="29" t="s">
        <v>326</v>
      </c>
      <c r="B102" s="2187" t="s">
        <v>192</v>
      </c>
      <c r="C102" s="2187"/>
      <c r="D102" s="2187"/>
      <c r="E102" s="162">
        <f>D88</f>
        <v>0</v>
      </c>
      <c r="F102" s="162" t="e">
        <f t="shared" si="11"/>
        <v>#DIV/0!</v>
      </c>
      <c r="G102" s="162">
        <f>E88</f>
        <v>117974</v>
      </c>
      <c r="H102" s="162">
        <f t="shared" si="12"/>
        <v>3.5623821814579782E-3</v>
      </c>
      <c r="I102" s="45"/>
      <c r="J102" s="175"/>
      <c r="K102" s="85"/>
      <c r="L102" s="85"/>
      <c r="M102" s="85"/>
      <c r="T102" s="2"/>
      <c r="U102" s="2"/>
      <c r="V102" s="2"/>
      <c r="W102" s="2"/>
      <c r="X102" s="2"/>
      <c r="Y102" s="2"/>
      <c r="Z102" s="2"/>
      <c r="AA102" s="2"/>
      <c r="AB102" s="2"/>
      <c r="AC102" s="2"/>
      <c r="AD102" s="2"/>
      <c r="AE102" s="2"/>
      <c r="AF102" s="2"/>
      <c r="AG102" s="2"/>
      <c r="AH102" s="2"/>
      <c r="AI102" s="2"/>
      <c r="AJ102" s="2"/>
      <c r="AK102" s="2"/>
      <c r="AL102" s="2"/>
      <c r="AM102" s="2"/>
      <c r="AN102" s="2"/>
    </row>
    <row r="103" spans="1:40" ht="23.65" customHeight="1" x14ac:dyDescent="0.3">
      <c r="A103" s="29" t="s">
        <v>327</v>
      </c>
      <c r="B103" s="2187" t="s">
        <v>196</v>
      </c>
      <c r="C103" s="2187"/>
      <c r="D103" s="2187"/>
      <c r="E103" s="162">
        <f>D66</f>
        <v>0</v>
      </c>
      <c r="F103" s="162" t="e">
        <f t="shared" si="11"/>
        <v>#DIV/0!</v>
      </c>
      <c r="G103" s="162">
        <f>E66</f>
        <v>1907941</v>
      </c>
      <c r="H103" s="162">
        <f t="shared" si="12"/>
        <v>5.7612821652848221E-2</v>
      </c>
      <c r="I103" s="173"/>
      <c r="J103" s="174"/>
      <c r="K103" s="85"/>
      <c r="L103" s="85"/>
      <c r="M103" s="85"/>
      <c r="T103" s="2"/>
      <c r="U103" s="2"/>
      <c r="V103" s="2"/>
      <c r="W103" s="2"/>
      <c r="X103" s="2"/>
      <c r="Y103" s="2"/>
      <c r="Z103" s="2"/>
      <c r="AA103" s="2"/>
      <c r="AB103" s="2"/>
      <c r="AC103" s="2"/>
      <c r="AD103" s="2"/>
      <c r="AE103" s="2"/>
      <c r="AF103" s="2"/>
      <c r="AG103" s="2"/>
      <c r="AH103" s="2"/>
      <c r="AI103" s="2"/>
      <c r="AJ103" s="2"/>
      <c r="AK103" s="2"/>
      <c r="AL103" s="2"/>
      <c r="AM103" s="2"/>
      <c r="AN103" s="2"/>
    </row>
    <row r="104" spans="1:40" s="84" customFormat="1" x14ac:dyDescent="0.25">
      <c r="A104" s="2366"/>
      <c r="B104" s="2366"/>
      <c r="C104" s="2366"/>
      <c r="D104" s="2366"/>
      <c r="E104" s="2366"/>
      <c r="F104" s="2366"/>
      <c r="G104" s="2366"/>
      <c r="H104" s="2366"/>
      <c r="I104" s="2366"/>
      <c r="J104" s="2366"/>
      <c r="K104" s="2366"/>
      <c r="L104" s="2366"/>
      <c r="M104" s="2366"/>
      <c r="N104" s="2366"/>
      <c r="O104" s="2366"/>
      <c r="P104" s="2366"/>
      <c r="Q104" s="2366"/>
      <c r="R104" s="2366"/>
      <c r="S104" s="2366"/>
    </row>
    <row r="105" spans="1:40" s="84" customFormat="1" x14ac:dyDescent="0.25">
      <c r="A105" s="2366"/>
      <c r="B105" s="2366"/>
      <c r="C105" s="2366"/>
      <c r="D105" s="2366"/>
      <c r="E105" s="2366"/>
      <c r="F105" s="2366"/>
      <c r="G105" s="2366"/>
      <c r="H105" s="2366"/>
      <c r="I105" s="2366"/>
      <c r="J105" s="2366"/>
      <c r="K105" s="2366"/>
      <c r="L105" s="2366"/>
      <c r="M105" s="2366"/>
      <c r="N105" s="2366"/>
      <c r="O105" s="2366"/>
      <c r="P105" s="2366"/>
      <c r="Q105" s="2366"/>
      <c r="R105" s="2366"/>
      <c r="S105" s="2366"/>
    </row>
    <row r="106" spans="1:40" s="84" customFormat="1" x14ac:dyDescent="0.25">
      <c r="A106" s="2366"/>
      <c r="B106" s="2366"/>
      <c r="C106" s="2366"/>
      <c r="D106" s="2366"/>
      <c r="E106" s="2366"/>
      <c r="F106" s="2366"/>
      <c r="G106" s="2366"/>
      <c r="H106" s="2366"/>
      <c r="I106" s="2366"/>
      <c r="J106" s="2366"/>
      <c r="K106" s="2366"/>
      <c r="L106" s="2366"/>
      <c r="M106" s="2366"/>
      <c r="N106" s="2366"/>
      <c r="O106" s="2366"/>
      <c r="P106" s="2366"/>
      <c r="Q106" s="2366"/>
      <c r="R106" s="2366"/>
      <c r="S106" s="2366"/>
    </row>
    <row r="107" spans="1:40" s="84" customFormat="1" x14ac:dyDescent="0.25">
      <c r="A107" s="2366"/>
      <c r="B107" s="2366"/>
      <c r="C107" s="2366"/>
      <c r="D107" s="2366"/>
      <c r="E107" s="2366"/>
      <c r="F107" s="2366"/>
      <c r="G107" s="2366"/>
      <c r="H107" s="2366"/>
      <c r="I107" s="2366"/>
      <c r="J107" s="2366"/>
      <c r="K107" s="2366"/>
      <c r="L107" s="2366"/>
      <c r="M107" s="2366"/>
      <c r="N107" s="2366"/>
      <c r="O107" s="2366"/>
      <c r="P107" s="2366"/>
      <c r="Q107" s="2366"/>
      <c r="R107" s="2366"/>
      <c r="S107" s="2366"/>
    </row>
    <row r="108" spans="1:40" s="84" customFormat="1" x14ac:dyDescent="0.25">
      <c r="A108" s="2366"/>
      <c r="B108" s="2366"/>
      <c r="C108" s="2366"/>
      <c r="D108" s="2366"/>
      <c r="E108" s="2366"/>
      <c r="F108" s="2366"/>
      <c r="G108" s="2366"/>
      <c r="H108" s="2366"/>
      <c r="I108" s="2366"/>
      <c r="J108" s="2366"/>
      <c r="K108" s="2366"/>
      <c r="L108" s="2366"/>
      <c r="M108" s="2366"/>
      <c r="N108" s="2366"/>
      <c r="O108" s="2366"/>
      <c r="P108" s="2366"/>
      <c r="Q108" s="2366"/>
      <c r="R108" s="2366"/>
      <c r="S108" s="2366"/>
    </row>
    <row r="109" spans="1:40" s="84" customFormat="1" x14ac:dyDescent="0.25">
      <c r="A109" s="2366"/>
      <c r="B109" s="2366"/>
      <c r="C109" s="2366"/>
      <c r="D109" s="2366"/>
      <c r="E109" s="2366"/>
      <c r="F109" s="2366"/>
      <c r="G109" s="2366"/>
      <c r="H109" s="2366"/>
      <c r="I109" s="2366"/>
      <c r="J109" s="2366"/>
      <c r="K109" s="2366"/>
      <c r="L109" s="2366"/>
      <c r="M109" s="2366"/>
      <c r="N109" s="2366"/>
      <c r="O109" s="2366"/>
      <c r="P109" s="2366"/>
      <c r="Q109" s="2366"/>
      <c r="R109" s="2366"/>
      <c r="S109" s="2366"/>
    </row>
    <row r="110" spans="1:40" s="84" customFormat="1" x14ac:dyDescent="0.25">
      <c r="A110" s="2366"/>
      <c r="B110" s="2366"/>
      <c r="C110" s="2366"/>
      <c r="D110" s="2366"/>
      <c r="E110" s="2366"/>
      <c r="F110" s="2366"/>
      <c r="G110" s="2366"/>
      <c r="H110" s="2366"/>
      <c r="I110" s="2366"/>
      <c r="J110" s="2366"/>
      <c r="K110" s="2366"/>
      <c r="L110" s="2366"/>
      <c r="M110" s="2366"/>
      <c r="N110" s="2366"/>
      <c r="O110" s="2366"/>
      <c r="P110" s="2366"/>
      <c r="Q110" s="2366"/>
      <c r="R110" s="2366"/>
      <c r="S110" s="2366"/>
    </row>
    <row r="111" spans="1:40" s="84" customFormat="1" x14ac:dyDescent="0.25">
      <c r="A111" s="2366"/>
      <c r="B111" s="2366"/>
      <c r="C111" s="2366"/>
      <c r="D111" s="2366"/>
      <c r="E111" s="2366"/>
      <c r="F111" s="2366"/>
      <c r="G111" s="2366"/>
      <c r="H111" s="2366"/>
      <c r="I111" s="2366"/>
      <c r="J111" s="2366"/>
      <c r="K111" s="2366"/>
      <c r="L111" s="2366"/>
      <c r="M111" s="2366"/>
      <c r="N111" s="2366"/>
      <c r="O111" s="2366"/>
      <c r="P111" s="2366"/>
      <c r="Q111" s="2366"/>
      <c r="R111" s="2366"/>
      <c r="S111" s="2366"/>
    </row>
    <row r="112" spans="1:40" s="84" customFormat="1" x14ac:dyDescent="0.25">
      <c r="A112" s="2366"/>
      <c r="B112" s="2366"/>
      <c r="C112" s="2366"/>
      <c r="D112" s="2366"/>
      <c r="E112" s="2366"/>
      <c r="F112" s="2366"/>
      <c r="G112" s="2366"/>
      <c r="H112" s="2366"/>
      <c r="I112" s="2366"/>
      <c r="J112" s="2366"/>
      <c r="K112" s="2366"/>
      <c r="L112" s="2366"/>
      <c r="M112" s="2366"/>
      <c r="N112" s="2366"/>
      <c r="O112" s="2366"/>
      <c r="P112" s="2366"/>
      <c r="Q112" s="2366"/>
      <c r="R112" s="2366"/>
      <c r="S112" s="2366"/>
    </row>
    <row r="113" spans="1:19" s="84" customFormat="1" x14ac:dyDescent="0.25">
      <c r="A113" s="2366"/>
      <c r="B113" s="2366"/>
      <c r="C113" s="2366"/>
      <c r="D113" s="2366"/>
      <c r="E113" s="2366"/>
      <c r="F113" s="2366"/>
      <c r="G113" s="2366"/>
      <c r="H113" s="2366"/>
      <c r="I113" s="2366"/>
      <c r="J113" s="2366"/>
      <c r="K113" s="2366"/>
      <c r="L113" s="2366"/>
      <c r="M113" s="2366"/>
      <c r="N113" s="2366"/>
      <c r="O113" s="2366"/>
      <c r="P113" s="2366"/>
      <c r="Q113" s="2366"/>
      <c r="R113" s="2366"/>
      <c r="S113" s="2366"/>
    </row>
    <row r="114" spans="1:19" s="84" customFormat="1" x14ac:dyDescent="0.25">
      <c r="A114" s="2366"/>
      <c r="B114" s="2366"/>
      <c r="C114" s="2366"/>
      <c r="D114" s="2366"/>
      <c r="E114" s="2366"/>
      <c r="F114" s="2366"/>
      <c r="G114" s="2366"/>
      <c r="H114" s="2366"/>
      <c r="I114" s="2366"/>
      <c r="J114" s="2366"/>
      <c r="K114" s="2366"/>
      <c r="L114" s="2366"/>
      <c r="M114" s="2366"/>
      <c r="N114" s="2366"/>
      <c r="O114" s="2366"/>
      <c r="P114" s="2366"/>
      <c r="Q114" s="2366"/>
      <c r="R114" s="2366"/>
      <c r="S114" s="2366"/>
    </row>
    <row r="115" spans="1:19" s="84" customFormat="1" x14ac:dyDescent="0.25">
      <c r="A115" s="2366"/>
      <c r="B115" s="2366"/>
      <c r="C115" s="2366"/>
      <c r="D115" s="2366"/>
      <c r="E115" s="2366"/>
      <c r="F115" s="2366"/>
      <c r="G115" s="2366"/>
      <c r="H115" s="2366"/>
      <c r="I115" s="2366"/>
      <c r="J115" s="2366"/>
      <c r="K115" s="2366"/>
      <c r="L115" s="2366"/>
      <c r="M115" s="2366"/>
      <c r="N115" s="2366"/>
      <c r="O115" s="2366"/>
      <c r="P115" s="2366"/>
      <c r="Q115" s="2366"/>
      <c r="R115" s="2366"/>
      <c r="S115" s="2366"/>
    </row>
    <row r="116" spans="1:19" s="84" customFormat="1" x14ac:dyDescent="0.25">
      <c r="A116" s="2366"/>
      <c r="B116" s="2366"/>
      <c r="C116" s="2366"/>
      <c r="D116" s="2366"/>
      <c r="E116" s="2366"/>
      <c r="F116" s="2366"/>
      <c r="G116" s="2366"/>
      <c r="H116" s="2366"/>
      <c r="I116" s="2366"/>
      <c r="J116" s="2366"/>
      <c r="K116" s="2366"/>
      <c r="L116" s="2366"/>
      <c r="M116" s="2366"/>
      <c r="N116" s="2366"/>
      <c r="O116" s="2366"/>
      <c r="P116" s="2366"/>
      <c r="Q116" s="2366"/>
      <c r="R116" s="2366"/>
      <c r="S116" s="2366"/>
    </row>
    <row r="117" spans="1:19" s="84" customFormat="1" x14ac:dyDescent="0.25">
      <c r="A117" s="2366"/>
      <c r="B117" s="2366"/>
      <c r="C117" s="2366"/>
      <c r="D117" s="2366"/>
      <c r="E117" s="2366"/>
      <c r="F117" s="2366"/>
      <c r="G117" s="2366"/>
      <c r="H117" s="2366"/>
      <c r="I117" s="2366"/>
      <c r="J117" s="2366"/>
      <c r="K117" s="2366"/>
      <c r="L117" s="2366"/>
      <c r="M117" s="2366"/>
      <c r="N117" s="2366"/>
      <c r="O117" s="2366"/>
      <c r="P117" s="2366"/>
      <c r="Q117" s="2366"/>
      <c r="R117" s="2366"/>
      <c r="S117" s="2366"/>
    </row>
    <row r="118" spans="1:19" s="84" customFormat="1" x14ac:dyDescent="0.25">
      <c r="A118" s="2366"/>
      <c r="B118" s="2366"/>
      <c r="C118" s="2366"/>
      <c r="D118" s="2366"/>
      <c r="E118" s="2366"/>
      <c r="F118" s="2366"/>
      <c r="G118" s="2366"/>
      <c r="H118" s="2366"/>
      <c r="I118" s="2366"/>
      <c r="J118" s="2366"/>
      <c r="K118" s="2366"/>
      <c r="L118" s="2366"/>
      <c r="M118" s="2366"/>
      <c r="N118" s="2366"/>
      <c r="O118" s="2366"/>
      <c r="P118" s="2366"/>
      <c r="Q118" s="2366"/>
      <c r="R118" s="2366"/>
      <c r="S118" s="2366"/>
    </row>
    <row r="119" spans="1:19" s="84" customFormat="1" x14ac:dyDescent="0.25">
      <c r="A119" s="2366"/>
      <c r="B119" s="2366"/>
      <c r="C119" s="2366"/>
      <c r="D119" s="2366"/>
      <c r="E119" s="2366"/>
      <c r="F119" s="2366"/>
      <c r="G119" s="2366"/>
      <c r="H119" s="2366"/>
      <c r="I119" s="2366"/>
      <c r="J119" s="2366"/>
      <c r="K119" s="2366"/>
      <c r="L119" s="2366"/>
      <c r="M119" s="2366"/>
      <c r="N119" s="2366"/>
      <c r="O119" s="2366"/>
      <c r="P119" s="2366"/>
      <c r="Q119" s="2366"/>
      <c r="R119" s="2366"/>
      <c r="S119" s="2366"/>
    </row>
    <row r="120" spans="1:19" s="84" customFormat="1" x14ac:dyDescent="0.25">
      <c r="A120" s="2366"/>
      <c r="B120" s="2366"/>
      <c r="C120" s="2366"/>
      <c r="D120" s="2366"/>
      <c r="E120" s="2366"/>
      <c r="F120" s="2366"/>
      <c r="G120" s="2366"/>
      <c r="H120" s="2366"/>
      <c r="I120" s="2366"/>
      <c r="J120" s="2366"/>
      <c r="K120" s="2366"/>
      <c r="L120" s="2366"/>
      <c r="M120" s="2366"/>
      <c r="N120" s="2366"/>
      <c r="O120" s="2366"/>
      <c r="P120" s="2366"/>
      <c r="Q120" s="2366"/>
      <c r="R120" s="2366"/>
      <c r="S120" s="2366"/>
    </row>
    <row r="121" spans="1:19" s="84" customFormat="1" x14ac:dyDescent="0.25">
      <c r="A121" s="2366"/>
      <c r="B121" s="2366"/>
      <c r="C121" s="2366"/>
      <c r="D121" s="2366"/>
      <c r="E121" s="2366"/>
      <c r="F121" s="2366"/>
      <c r="G121" s="2366"/>
      <c r="H121" s="2366"/>
      <c r="I121" s="2366"/>
      <c r="J121" s="2366"/>
      <c r="K121" s="2366"/>
      <c r="L121" s="2366"/>
      <c r="M121" s="2366"/>
      <c r="N121" s="2366"/>
      <c r="O121" s="2366"/>
      <c r="P121" s="2366"/>
      <c r="Q121" s="2366"/>
      <c r="R121" s="2366"/>
      <c r="S121" s="2366"/>
    </row>
    <row r="122" spans="1:19" s="84" customFormat="1" x14ac:dyDescent="0.25">
      <c r="A122" s="2366"/>
      <c r="B122" s="2366"/>
      <c r="C122" s="2366"/>
      <c r="D122" s="2366"/>
      <c r="E122" s="2366"/>
      <c r="F122" s="2366"/>
      <c r="G122" s="2366"/>
      <c r="H122" s="2366"/>
      <c r="I122" s="2366"/>
      <c r="J122" s="2366"/>
      <c r="K122" s="2366"/>
      <c r="L122" s="2366"/>
      <c r="M122" s="2366"/>
      <c r="N122" s="2366"/>
      <c r="O122" s="2366"/>
      <c r="P122" s="2366"/>
      <c r="Q122" s="2366"/>
      <c r="R122" s="2366"/>
      <c r="S122" s="2366"/>
    </row>
    <row r="123" spans="1:19" s="84" customFormat="1" x14ac:dyDescent="0.25">
      <c r="A123" s="2366"/>
      <c r="B123" s="2366"/>
      <c r="C123" s="2366"/>
      <c r="D123" s="2366"/>
      <c r="E123" s="2366"/>
      <c r="F123" s="2366"/>
      <c r="G123" s="2366"/>
      <c r="H123" s="2366"/>
      <c r="I123" s="2366"/>
      <c r="J123" s="2366"/>
      <c r="K123" s="2366"/>
      <c r="L123" s="2366"/>
      <c r="M123" s="2366"/>
      <c r="N123" s="2366"/>
      <c r="O123" s="2366"/>
      <c r="P123" s="2366"/>
      <c r="Q123" s="2366"/>
      <c r="R123" s="2366"/>
      <c r="S123" s="2366"/>
    </row>
    <row r="124" spans="1:19" s="84" customFormat="1" x14ac:dyDescent="0.25">
      <c r="A124" s="2366"/>
      <c r="B124" s="2366"/>
      <c r="C124" s="2366"/>
      <c r="D124" s="2366"/>
      <c r="E124" s="2366"/>
      <c r="F124" s="2366"/>
      <c r="G124" s="2366"/>
      <c r="H124" s="2366"/>
      <c r="I124" s="2366"/>
      <c r="J124" s="2366"/>
      <c r="K124" s="2366"/>
      <c r="L124" s="2366"/>
      <c r="M124" s="2366"/>
      <c r="N124" s="2366"/>
      <c r="O124" s="2366"/>
      <c r="P124" s="2366"/>
      <c r="Q124" s="2366"/>
      <c r="R124" s="2366"/>
      <c r="S124" s="2366"/>
    </row>
    <row r="125" spans="1:19" s="84" customFormat="1" x14ac:dyDescent="0.25">
      <c r="A125" s="2366"/>
      <c r="B125" s="2366"/>
      <c r="C125" s="2366"/>
      <c r="D125" s="2366"/>
      <c r="E125" s="2366"/>
      <c r="F125" s="2366"/>
      <c r="G125" s="2366"/>
      <c r="H125" s="2366"/>
      <c r="I125" s="2366"/>
      <c r="J125" s="2366"/>
      <c r="K125" s="2366"/>
      <c r="L125" s="2366"/>
      <c r="M125" s="2366"/>
      <c r="N125" s="2366"/>
      <c r="O125" s="2366"/>
      <c r="P125" s="2366"/>
      <c r="Q125" s="2366"/>
      <c r="R125" s="2366"/>
      <c r="S125" s="2366"/>
    </row>
    <row r="126" spans="1:19" s="84" customFormat="1" x14ac:dyDescent="0.25">
      <c r="A126" s="2366"/>
      <c r="B126" s="2366"/>
      <c r="C126" s="2366"/>
      <c r="D126" s="2366"/>
      <c r="E126" s="2366"/>
      <c r="F126" s="2366"/>
      <c r="G126" s="2366"/>
      <c r="H126" s="2366"/>
      <c r="I126" s="2366"/>
      <c r="J126" s="2366"/>
      <c r="K126" s="2366"/>
      <c r="L126" s="2366"/>
      <c r="M126" s="2366"/>
      <c r="N126" s="2366"/>
      <c r="O126" s="2366"/>
      <c r="P126" s="2366"/>
      <c r="Q126" s="2366"/>
      <c r="R126" s="2366"/>
      <c r="S126" s="2366"/>
    </row>
    <row r="127" spans="1:19" s="84" customFormat="1" x14ac:dyDescent="0.25">
      <c r="A127" s="2366"/>
      <c r="B127" s="2366"/>
      <c r="C127" s="2366"/>
      <c r="D127" s="2366"/>
      <c r="E127" s="2366"/>
      <c r="F127" s="2366"/>
      <c r="G127" s="2366"/>
      <c r="H127" s="2366"/>
      <c r="I127" s="2366"/>
      <c r="J127" s="2366"/>
      <c r="K127" s="2366"/>
      <c r="L127" s="2366"/>
      <c r="M127" s="2366"/>
      <c r="N127" s="2366"/>
      <c r="O127" s="2366"/>
      <c r="P127" s="2366"/>
      <c r="Q127" s="2366"/>
      <c r="R127" s="2366"/>
      <c r="S127" s="2366"/>
    </row>
    <row r="128" spans="1:19" s="84" customFormat="1" x14ac:dyDescent="0.25">
      <c r="A128" s="2366"/>
      <c r="B128" s="2366"/>
      <c r="C128" s="2366"/>
      <c r="D128" s="2366"/>
      <c r="E128" s="2366"/>
      <c r="F128" s="2366"/>
      <c r="G128" s="2366"/>
      <c r="H128" s="2366"/>
      <c r="I128" s="2366"/>
      <c r="J128" s="2366"/>
      <c r="K128" s="2366"/>
      <c r="L128" s="2366"/>
      <c r="M128" s="2366"/>
      <c r="N128" s="2366"/>
      <c r="O128" s="2366"/>
      <c r="P128" s="2366"/>
      <c r="Q128" s="2366"/>
      <c r="R128" s="2366"/>
      <c r="S128" s="2366"/>
    </row>
    <row r="129" spans="1:19" s="84" customFormat="1" x14ac:dyDescent="0.25">
      <c r="A129" s="112"/>
      <c r="B129" s="114"/>
      <c r="D129" s="88"/>
      <c r="E129" s="88"/>
      <c r="F129" s="88"/>
      <c r="G129" s="88"/>
      <c r="H129" s="89"/>
      <c r="I129" s="89"/>
      <c r="J129" s="89"/>
      <c r="K129" s="89"/>
      <c r="L129" s="89"/>
      <c r="M129" s="89"/>
      <c r="N129" s="89"/>
      <c r="O129" s="111"/>
      <c r="P129" s="111"/>
      <c r="Q129" s="87"/>
      <c r="S129" s="85"/>
    </row>
    <row r="130" spans="1:19" s="84" customFormat="1" x14ac:dyDescent="0.25">
      <c r="A130" s="112"/>
      <c r="B130" s="114"/>
      <c r="D130" s="88"/>
      <c r="E130" s="88"/>
      <c r="F130" s="88"/>
      <c r="G130" s="88"/>
      <c r="H130" s="89"/>
      <c r="I130" s="89"/>
      <c r="J130" s="89"/>
      <c r="K130" s="89"/>
      <c r="L130" s="89"/>
      <c r="M130" s="89"/>
      <c r="N130" s="89"/>
      <c r="O130" s="111"/>
      <c r="P130" s="111"/>
      <c r="Q130" s="87"/>
      <c r="S130" s="85"/>
    </row>
    <row r="131" spans="1:19" s="84" customFormat="1" x14ac:dyDescent="0.25">
      <c r="A131" s="112"/>
      <c r="B131" s="114"/>
      <c r="D131" s="88"/>
      <c r="E131" s="88"/>
      <c r="F131" s="88"/>
      <c r="G131" s="88"/>
      <c r="H131" s="89"/>
      <c r="I131" s="89"/>
      <c r="J131" s="89"/>
      <c r="K131" s="89"/>
      <c r="L131" s="89"/>
      <c r="M131" s="89"/>
      <c r="N131" s="89"/>
      <c r="O131" s="111"/>
      <c r="P131" s="111"/>
      <c r="Q131" s="87"/>
      <c r="S131" s="85"/>
    </row>
    <row r="132" spans="1:19" s="84" customFormat="1" x14ac:dyDescent="0.25">
      <c r="A132" s="112"/>
      <c r="B132" s="114"/>
      <c r="D132" s="88"/>
      <c r="E132" s="88"/>
      <c r="F132" s="88"/>
      <c r="G132" s="88"/>
      <c r="H132" s="89"/>
      <c r="I132" s="89"/>
      <c r="J132" s="89"/>
      <c r="K132" s="89"/>
      <c r="L132" s="89"/>
      <c r="M132" s="89"/>
      <c r="N132" s="89"/>
      <c r="O132" s="111"/>
      <c r="P132" s="111"/>
      <c r="Q132" s="87"/>
      <c r="S132" s="85"/>
    </row>
    <row r="133" spans="1:19" s="84" customFormat="1" x14ac:dyDescent="0.25">
      <c r="A133" s="112"/>
      <c r="B133" s="114"/>
      <c r="D133" s="88"/>
      <c r="E133" s="88"/>
      <c r="F133" s="88"/>
      <c r="G133" s="88"/>
      <c r="H133" s="89"/>
      <c r="I133" s="89"/>
      <c r="J133" s="89"/>
      <c r="K133" s="89"/>
      <c r="L133" s="89"/>
      <c r="M133" s="89"/>
      <c r="N133" s="89"/>
      <c r="O133" s="111"/>
      <c r="P133" s="111"/>
      <c r="Q133" s="87"/>
      <c r="S133" s="85"/>
    </row>
    <row r="134" spans="1:19" s="84" customFormat="1" x14ac:dyDescent="0.25">
      <c r="A134" s="112"/>
      <c r="B134" s="114"/>
      <c r="D134" s="88"/>
      <c r="E134" s="88"/>
      <c r="F134" s="88"/>
      <c r="G134" s="88"/>
      <c r="H134" s="89"/>
      <c r="I134" s="89"/>
      <c r="J134" s="89"/>
      <c r="K134" s="89"/>
      <c r="L134" s="89"/>
      <c r="M134" s="89"/>
      <c r="N134" s="89"/>
      <c r="O134" s="111"/>
      <c r="P134" s="111"/>
      <c r="Q134" s="87"/>
      <c r="S134" s="85"/>
    </row>
    <row r="135" spans="1:19" s="84" customFormat="1" x14ac:dyDescent="0.25">
      <c r="A135" s="112"/>
      <c r="B135" s="114"/>
      <c r="D135" s="88"/>
      <c r="E135" s="88"/>
      <c r="F135" s="88"/>
      <c r="G135" s="88"/>
      <c r="H135" s="89"/>
      <c r="I135" s="89"/>
      <c r="J135" s="89"/>
      <c r="K135" s="89"/>
      <c r="L135" s="89"/>
      <c r="M135" s="89"/>
      <c r="N135" s="89"/>
      <c r="O135" s="111"/>
      <c r="P135" s="111"/>
      <c r="Q135" s="87"/>
      <c r="S135" s="85"/>
    </row>
    <row r="136" spans="1:19" s="84" customFormat="1" x14ac:dyDescent="0.25">
      <c r="A136" s="112"/>
      <c r="B136" s="114"/>
      <c r="D136" s="88"/>
      <c r="E136" s="88"/>
      <c r="F136" s="88"/>
      <c r="G136" s="88"/>
      <c r="H136" s="89"/>
      <c r="I136" s="89"/>
      <c r="J136" s="89"/>
      <c r="K136" s="89"/>
      <c r="L136" s="89"/>
      <c r="M136" s="89"/>
      <c r="N136" s="89"/>
      <c r="O136" s="111"/>
      <c r="P136" s="111"/>
      <c r="Q136" s="87"/>
      <c r="S136" s="85"/>
    </row>
    <row r="137" spans="1:19" s="84" customFormat="1" x14ac:dyDescent="0.25">
      <c r="A137" s="112"/>
      <c r="B137" s="114"/>
      <c r="D137" s="88"/>
      <c r="E137" s="88"/>
      <c r="F137" s="88"/>
      <c r="G137" s="88"/>
      <c r="H137" s="89"/>
      <c r="I137" s="89"/>
      <c r="J137" s="89"/>
      <c r="K137" s="89"/>
      <c r="L137" s="89"/>
      <c r="M137" s="89"/>
      <c r="N137" s="89"/>
      <c r="O137" s="111"/>
      <c r="P137" s="111"/>
      <c r="Q137" s="87"/>
      <c r="S137" s="85"/>
    </row>
    <row r="138" spans="1:19" s="84" customFormat="1" x14ac:dyDescent="0.25">
      <c r="A138" s="112"/>
      <c r="B138" s="114"/>
      <c r="D138" s="88"/>
      <c r="E138" s="88"/>
      <c r="F138" s="88"/>
      <c r="G138" s="88"/>
      <c r="H138" s="89"/>
      <c r="I138" s="89"/>
      <c r="J138" s="89"/>
      <c r="K138" s="89"/>
      <c r="L138" s="89"/>
      <c r="M138" s="89"/>
      <c r="N138" s="89"/>
      <c r="O138" s="111"/>
      <c r="P138" s="111"/>
      <c r="Q138" s="87"/>
      <c r="S138" s="85"/>
    </row>
    <row r="139" spans="1:19" s="84" customFormat="1" x14ac:dyDescent="0.25">
      <c r="A139" s="112"/>
      <c r="B139" s="114"/>
      <c r="D139" s="88"/>
      <c r="E139" s="88"/>
      <c r="F139" s="88"/>
      <c r="G139" s="88"/>
      <c r="H139" s="89"/>
      <c r="I139" s="89"/>
      <c r="J139" s="89"/>
      <c r="K139" s="89"/>
      <c r="L139" s="89"/>
      <c r="M139" s="89"/>
      <c r="N139" s="89"/>
      <c r="O139" s="111"/>
      <c r="P139" s="111"/>
      <c r="Q139" s="87"/>
      <c r="S139" s="85"/>
    </row>
    <row r="140" spans="1:19" s="84" customFormat="1" x14ac:dyDescent="0.25">
      <c r="A140" s="112"/>
      <c r="B140" s="114"/>
      <c r="D140" s="88"/>
      <c r="E140" s="88"/>
      <c r="F140" s="88"/>
      <c r="G140" s="88"/>
      <c r="H140" s="89"/>
      <c r="I140" s="89"/>
      <c r="J140" s="89"/>
      <c r="K140" s="89"/>
      <c r="L140" s="89"/>
      <c r="M140" s="89"/>
      <c r="N140" s="89"/>
      <c r="O140" s="111"/>
      <c r="P140" s="111"/>
      <c r="Q140" s="87"/>
      <c r="S140" s="85"/>
    </row>
    <row r="141" spans="1:19" s="84" customFormat="1" x14ac:dyDescent="0.25">
      <c r="A141" s="112"/>
      <c r="B141" s="114"/>
      <c r="D141" s="88"/>
      <c r="E141" s="88"/>
      <c r="F141" s="88"/>
      <c r="G141" s="88"/>
      <c r="H141" s="89"/>
      <c r="I141" s="89"/>
      <c r="J141" s="89"/>
      <c r="K141" s="89"/>
      <c r="L141" s="89"/>
      <c r="M141" s="89"/>
      <c r="N141" s="89"/>
      <c r="O141" s="111"/>
      <c r="P141" s="111"/>
      <c r="Q141" s="87"/>
      <c r="S141" s="85"/>
    </row>
    <row r="142" spans="1:19" s="84" customFormat="1" x14ac:dyDescent="0.25">
      <c r="A142" s="112"/>
      <c r="B142" s="114"/>
      <c r="D142" s="88"/>
      <c r="E142" s="88"/>
      <c r="F142" s="88"/>
      <c r="G142" s="88"/>
      <c r="H142" s="89"/>
      <c r="I142" s="89"/>
      <c r="J142" s="89"/>
      <c r="K142" s="89"/>
      <c r="L142" s="89"/>
      <c r="M142" s="89"/>
      <c r="N142" s="89"/>
      <c r="O142" s="111"/>
      <c r="P142" s="111"/>
      <c r="Q142" s="87"/>
      <c r="S142" s="85"/>
    </row>
    <row r="143" spans="1:19" s="84" customFormat="1" x14ac:dyDescent="0.25">
      <c r="A143" s="112"/>
      <c r="B143" s="114"/>
      <c r="D143" s="88"/>
      <c r="E143" s="88"/>
      <c r="F143" s="88"/>
      <c r="G143" s="88"/>
      <c r="H143" s="89"/>
      <c r="I143" s="89"/>
      <c r="J143" s="89"/>
      <c r="K143" s="89"/>
      <c r="L143" s="89"/>
      <c r="M143" s="89"/>
      <c r="N143" s="89"/>
      <c r="O143" s="111"/>
      <c r="P143" s="111"/>
      <c r="Q143" s="87"/>
      <c r="S143" s="85"/>
    </row>
    <row r="144" spans="1:19" s="84" customFormat="1" x14ac:dyDescent="0.25">
      <c r="A144" s="112"/>
      <c r="B144" s="114"/>
      <c r="D144" s="88"/>
      <c r="E144" s="88"/>
      <c r="F144" s="88"/>
      <c r="G144" s="88"/>
      <c r="H144" s="89"/>
      <c r="I144" s="89"/>
      <c r="J144" s="89"/>
      <c r="K144" s="89"/>
      <c r="L144" s="89"/>
      <c r="M144" s="89"/>
      <c r="N144" s="89"/>
      <c r="O144" s="111"/>
      <c r="P144" s="111"/>
      <c r="Q144" s="87"/>
      <c r="S144" s="85"/>
    </row>
    <row r="145" spans="1:19" s="84" customFormat="1" x14ac:dyDescent="0.25">
      <c r="A145" s="112"/>
      <c r="B145" s="114"/>
      <c r="D145" s="88"/>
      <c r="E145" s="88"/>
      <c r="F145" s="88"/>
      <c r="G145" s="88"/>
      <c r="H145" s="89"/>
      <c r="I145" s="89"/>
      <c r="J145" s="89"/>
      <c r="K145" s="89"/>
      <c r="L145" s="89"/>
      <c r="M145" s="89"/>
      <c r="N145" s="89"/>
      <c r="O145" s="111"/>
      <c r="P145" s="111"/>
      <c r="Q145" s="87"/>
      <c r="S145" s="85"/>
    </row>
    <row r="146" spans="1:19" s="84" customFormat="1" x14ac:dyDescent="0.25">
      <c r="A146" s="112"/>
      <c r="B146" s="114"/>
      <c r="D146" s="88"/>
      <c r="E146" s="88"/>
      <c r="F146" s="88"/>
      <c r="G146" s="88"/>
      <c r="H146" s="89"/>
      <c r="I146" s="89"/>
      <c r="J146" s="89"/>
      <c r="K146" s="89"/>
      <c r="L146" s="89"/>
      <c r="M146" s="89"/>
      <c r="N146" s="89"/>
      <c r="O146" s="111"/>
      <c r="P146" s="111"/>
      <c r="Q146" s="87"/>
      <c r="S146" s="85"/>
    </row>
    <row r="147" spans="1:19" s="84" customFormat="1" x14ac:dyDescent="0.25">
      <c r="A147" s="112"/>
      <c r="B147" s="114"/>
      <c r="D147" s="88"/>
      <c r="E147" s="88"/>
      <c r="F147" s="88"/>
      <c r="G147" s="88"/>
      <c r="H147" s="89"/>
      <c r="I147" s="89"/>
      <c r="J147" s="89"/>
      <c r="K147" s="89"/>
      <c r="L147" s="89"/>
      <c r="M147" s="89"/>
      <c r="N147" s="89"/>
      <c r="O147" s="111"/>
      <c r="P147" s="111"/>
      <c r="Q147" s="87"/>
      <c r="S147" s="85"/>
    </row>
    <row r="148" spans="1:19" s="84" customFormat="1" x14ac:dyDescent="0.25">
      <c r="A148" s="112"/>
      <c r="B148" s="114"/>
      <c r="D148" s="88"/>
      <c r="E148" s="88"/>
      <c r="F148" s="88"/>
      <c r="G148" s="88"/>
      <c r="H148" s="89"/>
      <c r="I148" s="89"/>
      <c r="J148" s="89"/>
      <c r="K148" s="89"/>
      <c r="L148" s="89"/>
      <c r="M148" s="89"/>
      <c r="N148" s="89"/>
      <c r="O148" s="111"/>
      <c r="P148" s="111"/>
      <c r="Q148" s="87"/>
      <c r="S148" s="85"/>
    </row>
    <row r="149" spans="1:19" s="84" customFormat="1" x14ac:dyDescent="0.25">
      <c r="A149" s="112"/>
      <c r="B149" s="114"/>
      <c r="D149" s="88"/>
      <c r="E149" s="88"/>
      <c r="F149" s="88"/>
      <c r="G149" s="88"/>
      <c r="H149" s="89"/>
      <c r="I149" s="89"/>
      <c r="J149" s="89"/>
      <c r="K149" s="89"/>
      <c r="L149" s="89"/>
      <c r="M149" s="89"/>
      <c r="N149" s="89"/>
      <c r="O149" s="111"/>
      <c r="P149" s="111"/>
      <c r="Q149" s="87"/>
      <c r="S149" s="85"/>
    </row>
    <row r="150" spans="1:19" s="84" customFormat="1" x14ac:dyDescent="0.25">
      <c r="A150" s="112"/>
      <c r="B150" s="114"/>
      <c r="D150" s="88"/>
      <c r="E150" s="88"/>
      <c r="F150" s="88"/>
      <c r="G150" s="88"/>
      <c r="H150" s="89"/>
      <c r="I150" s="89"/>
      <c r="J150" s="89"/>
      <c r="K150" s="89"/>
      <c r="L150" s="89"/>
      <c r="M150" s="89"/>
      <c r="N150" s="89"/>
      <c r="O150" s="111"/>
      <c r="P150" s="111"/>
      <c r="Q150" s="87"/>
      <c r="S150" s="85"/>
    </row>
    <row r="151" spans="1:19" s="84" customFormat="1" x14ac:dyDescent="0.25">
      <c r="A151" s="112"/>
      <c r="B151" s="114"/>
      <c r="D151" s="88"/>
      <c r="E151" s="88"/>
      <c r="F151" s="88"/>
      <c r="G151" s="88"/>
      <c r="H151" s="89"/>
      <c r="I151" s="89"/>
      <c r="J151" s="89"/>
      <c r="K151" s="89"/>
      <c r="L151" s="89"/>
      <c r="M151" s="89"/>
      <c r="N151" s="89"/>
      <c r="O151" s="111"/>
      <c r="P151" s="111"/>
      <c r="Q151" s="87"/>
      <c r="S151" s="85"/>
    </row>
    <row r="152" spans="1:19" s="84" customFormat="1" x14ac:dyDescent="0.25">
      <c r="A152" s="112"/>
      <c r="B152" s="114"/>
      <c r="D152" s="88"/>
      <c r="E152" s="88"/>
      <c r="F152" s="88"/>
      <c r="G152" s="88"/>
      <c r="H152" s="89"/>
      <c r="I152" s="89"/>
      <c r="J152" s="89"/>
      <c r="K152" s="89"/>
      <c r="L152" s="89"/>
      <c r="M152" s="89"/>
      <c r="N152" s="89"/>
      <c r="O152" s="111"/>
      <c r="P152" s="111"/>
      <c r="Q152" s="87"/>
      <c r="S152" s="85"/>
    </row>
    <row r="153" spans="1:19" s="84" customFormat="1" x14ac:dyDescent="0.25">
      <c r="A153" s="112"/>
      <c r="B153" s="114"/>
      <c r="D153" s="88"/>
      <c r="E153" s="88"/>
      <c r="F153" s="88"/>
      <c r="G153" s="88"/>
      <c r="H153" s="89"/>
      <c r="I153" s="89"/>
      <c r="J153" s="89"/>
      <c r="K153" s="89"/>
      <c r="L153" s="89"/>
      <c r="M153" s="89"/>
      <c r="N153" s="89"/>
      <c r="O153" s="111"/>
      <c r="P153" s="111"/>
      <c r="Q153" s="87"/>
      <c r="S153" s="85"/>
    </row>
    <row r="154" spans="1:19" s="84" customFormat="1" x14ac:dyDescent="0.25">
      <c r="A154" s="112"/>
      <c r="B154" s="114"/>
      <c r="D154" s="88"/>
      <c r="E154" s="88"/>
      <c r="F154" s="88"/>
      <c r="G154" s="88"/>
      <c r="H154" s="89"/>
      <c r="I154" s="89"/>
      <c r="J154" s="89"/>
      <c r="K154" s="89"/>
      <c r="L154" s="89"/>
      <c r="M154" s="89"/>
      <c r="N154" s="89"/>
      <c r="O154" s="111"/>
      <c r="P154" s="111"/>
      <c r="Q154" s="87"/>
      <c r="S154" s="85"/>
    </row>
    <row r="155" spans="1:19" s="84" customFormat="1" x14ac:dyDescent="0.25">
      <c r="A155" s="112"/>
      <c r="B155" s="114"/>
      <c r="D155" s="88"/>
      <c r="E155" s="88"/>
      <c r="F155" s="88"/>
      <c r="G155" s="88"/>
      <c r="H155" s="89"/>
      <c r="I155" s="89"/>
      <c r="J155" s="89"/>
      <c r="K155" s="89"/>
      <c r="L155" s="89"/>
      <c r="M155" s="89"/>
      <c r="N155" s="89"/>
      <c r="O155" s="111"/>
      <c r="P155" s="111"/>
      <c r="Q155" s="87"/>
      <c r="S155" s="85"/>
    </row>
    <row r="156" spans="1:19" s="84" customFormat="1" x14ac:dyDescent="0.25">
      <c r="A156" s="112"/>
      <c r="B156" s="114"/>
      <c r="D156" s="88"/>
      <c r="E156" s="88"/>
      <c r="F156" s="88"/>
      <c r="G156" s="88"/>
      <c r="H156" s="89"/>
      <c r="I156" s="89"/>
      <c r="J156" s="89"/>
      <c r="K156" s="89"/>
      <c r="L156" s="89"/>
      <c r="M156" s="89"/>
      <c r="N156" s="89"/>
      <c r="O156" s="111"/>
      <c r="P156" s="111"/>
      <c r="Q156" s="87"/>
      <c r="S156" s="85"/>
    </row>
    <row r="157" spans="1:19" s="84" customFormat="1" x14ac:dyDescent="0.25">
      <c r="A157" s="112"/>
      <c r="B157" s="114"/>
      <c r="D157" s="88"/>
      <c r="E157" s="88"/>
      <c r="F157" s="88"/>
      <c r="G157" s="88"/>
      <c r="H157" s="89"/>
      <c r="I157" s="89"/>
      <c r="J157" s="89"/>
      <c r="K157" s="89"/>
      <c r="L157" s="89"/>
      <c r="M157" s="89"/>
      <c r="N157" s="89"/>
      <c r="O157" s="111"/>
      <c r="P157" s="111"/>
      <c r="Q157" s="87"/>
      <c r="S157" s="85"/>
    </row>
    <row r="158" spans="1:19" s="84" customFormat="1" x14ac:dyDescent="0.25">
      <c r="A158" s="112"/>
      <c r="B158" s="114"/>
      <c r="D158" s="88"/>
      <c r="E158" s="88"/>
      <c r="F158" s="88"/>
      <c r="G158" s="88"/>
      <c r="H158" s="89"/>
      <c r="I158" s="89"/>
      <c r="J158" s="89"/>
      <c r="K158" s="89"/>
      <c r="L158" s="89"/>
      <c r="M158" s="89"/>
      <c r="N158" s="89"/>
      <c r="O158" s="111"/>
      <c r="P158" s="111"/>
      <c r="Q158" s="87"/>
      <c r="S158" s="85"/>
    </row>
    <row r="159" spans="1:19" s="84" customFormat="1" x14ac:dyDescent="0.25">
      <c r="A159" s="112"/>
      <c r="B159" s="114"/>
      <c r="D159" s="88"/>
      <c r="E159" s="88"/>
      <c r="F159" s="88"/>
      <c r="G159" s="88"/>
      <c r="H159" s="89"/>
      <c r="I159" s="89"/>
      <c r="J159" s="89"/>
      <c r="K159" s="89"/>
      <c r="L159" s="89"/>
      <c r="M159" s="89"/>
      <c r="N159" s="89"/>
      <c r="O159" s="111"/>
      <c r="P159" s="111"/>
      <c r="Q159" s="87"/>
      <c r="S159" s="85"/>
    </row>
    <row r="160" spans="1:19" s="84" customFormat="1" x14ac:dyDescent="0.25">
      <c r="A160" s="112"/>
      <c r="B160" s="114"/>
      <c r="D160" s="88"/>
      <c r="E160" s="88"/>
      <c r="F160" s="88"/>
      <c r="G160" s="88"/>
      <c r="H160" s="89"/>
      <c r="I160" s="89"/>
      <c r="J160" s="89"/>
      <c r="K160" s="89"/>
      <c r="L160" s="89"/>
      <c r="M160" s="89"/>
      <c r="N160" s="89"/>
      <c r="O160" s="111"/>
      <c r="P160" s="111"/>
      <c r="Q160" s="87"/>
      <c r="S160" s="85"/>
    </row>
    <row r="161" spans="1:19" s="84" customFormat="1" x14ac:dyDescent="0.25">
      <c r="A161" s="112"/>
      <c r="B161" s="114"/>
      <c r="D161" s="88"/>
      <c r="E161" s="88"/>
      <c r="F161" s="88"/>
      <c r="G161" s="88"/>
      <c r="H161" s="89"/>
      <c r="I161" s="89"/>
      <c r="J161" s="89"/>
      <c r="K161" s="89"/>
      <c r="L161" s="89"/>
      <c r="M161" s="89"/>
      <c r="N161" s="89"/>
      <c r="O161" s="111"/>
      <c r="P161" s="111"/>
      <c r="Q161" s="87"/>
      <c r="S161" s="85"/>
    </row>
    <row r="162" spans="1:19" s="84" customFormat="1" x14ac:dyDescent="0.25">
      <c r="A162" s="112"/>
      <c r="B162" s="114"/>
      <c r="D162" s="88"/>
      <c r="E162" s="88"/>
      <c r="F162" s="88"/>
      <c r="G162" s="88"/>
      <c r="H162" s="89"/>
      <c r="I162" s="89"/>
      <c r="J162" s="89"/>
      <c r="K162" s="89"/>
      <c r="L162" s="89"/>
      <c r="M162" s="89"/>
      <c r="N162" s="89"/>
      <c r="O162" s="111"/>
      <c r="P162" s="111"/>
      <c r="Q162" s="87"/>
      <c r="S162" s="85"/>
    </row>
    <row r="163" spans="1:19" s="84" customFormat="1" x14ac:dyDescent="0.25">
      <c r="A163" s="112"/>
      <c r="B163" s="114"/>
      <c r="D163" s="88"/>
      <c r="E163" s="88"/>
      <c r="F163" s="88"/>
      <c r="G163" s="88"/>
      <c r="H163" s="89"/>
      <c r="I163" s="89"/>
      <c r="J163" s="89"/>
      <c r="K163" s="89"/>
      <c r="L163" s="89"/>
      <c r="M163" s="89"/>
      <c r="N163" s="89"/>
      <c r="O163" s="111"/>
      <c r="P163" s="111"/>
      <c r="Q163" s="87"/>
      <c r="S163" s="85"/>
    </row>
    <row r="164" spans="1:19" s="84" customFormat="1" x14ac:dyDescent="0.25">
      <c r="A164" s="112"/>
      <c r="B164" s="114"/>
      <c r="D164" s="88"/>
      <c r="E164" s="88"/>
      <c r="F164" s="88"/>
      <c r="G164" s="88"/>
      <c r="H164" s="89"/>
      <c r="I164" s="89"/>
      <c r="J164" s="89"/>
      <c r="K164" s="89"/>
      <c r="L164" s="89"/>
      <c r="M164" s="89"/>
      <c r="N164" s="89"/>
      <c r="O164" s="111"/>
      <c r="P164" s="111"/>
      <c r="Q164" s="87"/>
      <c r="S164" s="85"/>
    </row>
    <row r="165" spans="1:19" s="84" customFormat="1" x14ac:dyDescent="0.25">
      <c r="A165" s="112"/>
      <c r="B165" s="114"/>
      <c r="D165" s="88"/>
      <c r="E165" s="88"/>
      <c r="F165" s="88"/>
      <c r="G165" s="88"/>
      <c r="H165" s="89"/>
      <c r="I165" s="89"/>
      <c r="J165" s="89"/>
      <c r="K165" s="89"/>
      <c r="L165" s="89"/>
      <c r="M165" s="89"/>
      <c r="N165" s="89"/>
      <c r="O165" s="111"/>
      <c r="P165" s="111"/>
      <c r="Q165" s="87"/>
      <c r="S165" s="85"/>
    </row>
    <row r="166" spans="1:19" s="84" customFormat="1" x14ac:dyDescent="0.25">
      <c r="A166" s="112"/>
      <c r="B166" s="114"/>
      <c r="D166" s="88"/>
      <c r="E166" s="88"/>
      <c r="F166" s="88"/>
      <c r="G166" s="88"/>
      <c r="H166" s="89"/>
      <c r="I166" s="89"/>
      <c r="J166" s="89"/>
      <c r="K166" s="89"/>
      <c r="L166" s="89"/>
      <c r="M166" s="89"/>
      <c r="N166" s="89"/>
      <c r="O166" s="111"/>
      <c r="P166" s="111"/>
      <c r="Q166" s="87"/>
      <c r="S166" s="85"/>
    </row>
    <row r="167" spans="1:19" s="84" customFormat="1" x14ac:dyDescent="0.25">
      <c r="A167" s="112"/>
      <c r="B167" s="114"/>
      <c r="D167" s="88"/>
      <c r="E167" s="88"/>
      <c r="F167" s="88"/>
      <c r="G167" s="88"/>
      <c r="H167" s="89"/>
      <c r="I167" s="89"/>
      <c r="J167" s="89"/>
      <c r="K167" s="89"/>
      <c r="L167" s="89"/>
      <c r="M167" s="89"/>
      <c r="N167" s="89"/>
      <c r="O167" s="111"/>
      <c r="P167" s="111"/>
      <c r="Q167" s="87"/>
      <c r="S167" s="85"/>
    </row>
    <row r="168" spans="1:19" s="84" customFormat="1" x14ac:dyDescent="0.25">
      <c r="A168" s="112"/>
      <c r="B168" s="114"/>
      <c r="D168" s="88"/>
      <c r="E168" s="88"/>
      <c r="F168" s="88"/>
      <c r="G168" s="88"/>
      <c r="H168" s="89"/>
      <c r="I168" s="89"/>
      <c r="J168" s="89"/>
      <c r="K168" s="89"/>
      <c r="L168" s="89"/>
      <c r="M168" s="89"/>
      <c r="N168" s="89"/>
      <c r="O168" s="111"/>
      <c r="P168" s="111"/>
      <c r="Q168" s="87"/>
      <c r="S168" s="85"/>
    </row>
    <row r="169" spans="1:19" s="84" customFormat="1" x14ac:dyDescent="0.25">
      <c r="A169" s="112"/>
      <c r="B169" s="114"/>
      <c r="D169" s="88"/>
      <c r="E169" s="88"/>
      <c r="F169" s="88"/>
      <c r="G169" s="88"/>
      <c r="H169" s="89"/>
      <c r="I169" s="89"/>
      <c r="J169" s="89"/>
      <c r="K169" s="89"/>
      <c r="L169" s="89"/>
      <c r="M169" s="89"/>
      <c r="N169" s="89"/>
      <c r="O169" s="111"/>
      <c r="P169" s="111"/>
      <c r="Q169" s="87"/>
      <c r="S169" s="85"/>
    </row>
    <row r="170" spans="1:19" s="84" customFormat="1" x14ac:dyDescent="0.25">
      <c r="A170" s="112"/>
      <c r="B170" s="114"/>
      <c r="D170" s="88"/>
      <c r="E170" s="88"/>
      <c r="F170" s="88"/>
      <c r="G170" s="88"/>
      <c r="H170" s="89"/>
      <c r="I170" s="89"/>
      <c r="J170" s="89"/>
      <c r="K170" s="89"/>
      <c r="L170" s="89"/>
      <c r="M170" s="89"/>
      <c r="N170" s="89"/>
      <c r="O170" s="111"/>
      <c r="P170" s="111"/>
      <c r="Q170" s="87"/>
      <c r="S170" s="85"/>
    </row>
    <row r="171" spans="1:19" s="84" customFormat="1" x14ac:dyDescent="0.25">
      <c r="A171" s="112"/>
      <c r="B171" s="114"/>
      <c r="D171" s="88"/>
      <c r="E171" s="88"/>
      <c r="F171" s="88"/>
      <c r="G171" s="88"/>
      <c r="H171" s="89"/>
      <c r="I171" s="89"/>
      <c r="J171" s="89"/>
      <c r="K171" s="89"/>
      <c r="L171" s="89"/>
      <c r="M171" s="89"/>
      <c r="N171" s="89"/>
      <c r="O171" s="111"/>
      <c r="P171" s="111"/>
      <c r="Q171" s="87"/>
      <c r="S171" s="85"/>
    </row>
    <row r="172" spans="1:19" s="84" customFormat="1" x14ac:dyDescent="0.25">
      <c r="A172" s="112"/>
      <c r="B172" s="114"/>
      <c r="D172" s="88"/>
      <c r="E172" s="88"/>
      <c r="F172" s="88"/>
      <c r="G172" s="88"/>
      <c r="H172" s="89"/>
      <c r="I172" s="89"/>
      <c r="J172" s="89"/>
      <c r="K172" s="89"/>
      <c r="L172" s="89"/>
      <c r="M172" s="89"/>
      <c r="N172" s="89"/>
      <c r="O172" s="111"/>
      <c r="P172" s="111"/>
      <c r="Q172" s="87"/>
      <c r="S172" s="85"/>
    </row>
    <row r="173" spans="1:19" s="84" customFormat="1" x14ac:dyDescent="0.25">
      <c r="A173" s="112"/>
      <c r="B173" s="114"/>
      <c r="D173" s="88"/>
      <c r="E173" s="88"/>
      <c r="F173" s="88"/>
      <c r="G173" s="88"/>
      <c r="H173" s="89"/>
      <c r="I173" s="89"/>
      <c r="J173" s="89"/>
      <c r="K173" s="89"/>
      <c r="L173" s="89"/>
      <c r="M173" s="89"/>
      <c r="N173" s="89"/>
      <c r="O173" s="111"/>
      <c r="P173" s="111"/>
      <c r="Q173" s="87"/>
      <c r="S173" s="85"/>
    </row>
    <row r="174" spans="1:19" s="84" customFormat="1" x14ac:dyDescent="0.25">
      <c r="A174" s="112"/>
      <c r="B174" s="114"/>
      <c r="D174" s="88"/>
      <c r="E174" s="88"/>
      <c r="F174" s="88"/>
      <c r="G174" s="88"/>
      <c r="H174" s="89"/>
      <c r="I174" s="89"/>
      <c r="J174" s="89"/>
      <c r="K174" s="89"/>
      <c r="L174" s="89"/>
      <c r="M174" s="89"/>
      <c r="N174" s="89"/>
      <c r="O174" s="111"/>
      <c r="P174" s="111"/>
      <c r="Q174" s="87"/>
      <c r="S174" s="85"/>
    </row>
    <row r="175" spans="1:19" s="84" customFormat="1" x14ac:dyDescent="0.25">
      <c r="A175" s="112"/>
      <c r="B175" s="114"/>
      <c r="D175" s="88"/>
      <c r="E175" s="88"/>
      <c r="F175" s="88"/>
      <c r="G175" s="88"/>
      <c r="H175" s="89"/>
      <c r="I175" s="89"/>
      <c r="J175" s="89"/>
      <c r="K175" s="89"/>
      <c r="L175" s="89"/>
      <c r="M175" s="89"/>
      <c r="N175" s="89"/>
      <c r="O175" s="111"/>
      <c r="P175" s="111"/>
      <c r="Q175" s="87"/>
      <c r="S175" s="85"/>
    </row>
    <row r="176" spans="1:19" s="84" customFormat="1" x14ac:dyDescent="0.25">
      <c r="A176" s="112"/>
      <c r="B176" s="114"/>
      <c r="D176" s="88"/>
      <c r="E176" s="88"/>
      <c r="F176" s="88"/>
      <c r="G176" s="88"/>
      <c r="H176" s="89"/>
      <c r="I176" s="89"/>
      <c r="J176" s="89"/>
      <c r="K176" s="89"/>
      <c r="L176" s="89"/>
      <c r="M176" s="89"/>
      <c r="N176" s="89"/>
      <c r="O176" s="111"/>
      <c r="P176" s="111"/>
      <c r="Q176" s="87"/>
      <c r="S176" s="85"/>
    </row>
    <row r="177" spans="1:19" s="84" customFormat="1" x14ac:dyDescent="0.25">
      <c r="A177" s="112"/>
      <c r="B177" s="114"/>
      <c r="D177" s="88"/>
      <c r="E177" s="88"/>
      <c r="F177" s="88"/>
      <c r="G177" s="88"/>
      <c r="H177" s="89"/>
      <c r="I177" s="89"/>
      <c r="J177" s="89"/>
      <c r="K177" s="89"/>
      <c r="L177" s="89"/>
      <c r="M177" s="89"/>
      <c r="N177" s="89"/>
      <c r="O177" s="111"/>
      <c r="P177" s="111"/>
      <c r="Q177" s="87"/>
      <c r="S177" s="85"/>
    </row>
    <row r="178" spans="1:19" s="84" customFormat="1" x14ac:dyDescent="0.25">
      <c r="A178" s="112"/>
      <c r="B178" s="114"/>
      <c r="D178" s="88"/>
      <c r="E178" s="88"/>
      <c r="F178" s="88"/>
      <c r="G178" s="88"/>
      <c r="H178" s="89"/>
      <c r="I178" s="89"/>
      <c r="J178" s="89"/>
      <c r="K178" s="89"/>
      <c r="L178" s="89"/>
      <c r="M178" s="89"/>
      <c r="N178" s="89"/>
      <c r="O178" s="111"/>
      <c r="P178" s="111"/>
      <c r="Q178" s="87"/>
      <c r="S178" s="85"/>
    </row>
    <row r="179" spans="1:19" s="84" customFormat="1" x14ac:dyDescent="0.25">
      <c r="A179" s="112"/>
      <c r="B179" s="114"/>
      <c r="D179" s="88"/>
      <c r="E179" s="88"/>
      <c r="F179" s="88"/>
      <c r="G179" s="88"/>
      <c r="H179" s="89"/>
      <c r="I179" s="89"/>
      <c r="J179" s="89"/>
      <c r="K179" s="89"/>
      <c r="L179" s="89"/>
      <c r="M179" s="89"/>
      <c r="N179" s="89"/>
      <c r="O179" s="111"/>
      <c r="P179" s="111"/>
      <c r="Q179" s="87"/>
      <c r="S179" s="85"/>
    </row>
    <row r="180" spans="1:19" s="84" customFormat="1" x14ac:dyDescent="0.25">
      <c r="A180" s="112"/>
      <c r="B180" s="114"/>
      <c r="D180" s="88"/>
      <c r="E180" s="88"/>
      <c r="F180" s="88"/>
      <c r="G180" s="88"/>
      <c r="H180" s="89"/>
      <c r="I180" s="89"/>
      <c r="J180" s="89"/>
      <c r="K180" s="89"/>
      <c r="L180" s="89"/>
      <c r="M180" s="89"/>
      <c r="N180" s="89"/>
      <c r="O180" s="111"/>
      <c r="P180" s="111"/>
      <c r="Q180" s="87"/>
      <c r="S180" s="85"/>
    </row>
    <row r="181" spans="1:19" s="84" customFormat="1" x14ac:dyDescent="0.25">
      <c r="A181" s="112"/>
      <c r="B181" s="114"/>
      <c r="D181" s="88"/>
      <c r="E181" s="88"/>
      <c r="F181" s="88"/>
      <c r="G181" s="88"/>
      <c r="H181" s="89"/>
      <c r="I181" s="89"/>
      <c r="J181" s="89"/>
      <c r="K181" s="89"/>
      <c r="L181" s="89"/>
      <c r="M181" s="89"/>
      <c r="N181" s="89"/>
      <c r="O181" s="111"/>
      <c r="P181" s="111"/>
      <c r="Q181" s="87"/>
      <c r="S181" s="85"/>
    </row>
    <row r="182" spans="1:19" s="84" customFormat="1" x14ac:dyDescent="0.25">
      <c r="A182" s="112"/>
      <c r="B182" s="114"/>
      <c r="D182" s="88"/>
      <c r="E182" s="88"/>
      <c r="F182" s="88"/>
      <c r="G182" s="88"/>
      <c r="H182" s="89"/>
      <c r="I182" s="89"/>
      <c r="J182" s="89"/>
      <c r="K182" s="89"/>
      <c r="L182" s="89"/>
      <c r="M182" s="89"/>
      <c r="N182" s="89"/>
      <c r="O182" s="111"/>
      <c r="P182" s="111"/>
      <c r="Q182" s="87"/>
      <c r="S182" s="85"/>
    </row>
    <row r="183" spans="1:19" s="84" customFormat="1" x14ac:dyDescent="0.25">
      <c r="A183" s="112"/>
      <c r="B183" s="114"/>
      <c r="D183" s="88"/>
      <c r="E183" s="88"/>
      <c r="F183" s="88"/>
      <c r="G183" s="88"/>
      <c r="H183" s="89"/>
      <c r="I183" s="89"/>
      <c r="J183" s="89"/>
      <c r="K183" s="89"/>
      <c r="L183" s="89"/>
      <c r="M183" s="89"/>
      <c r="N183" s="89"/>
      <c r="O183" s="111"/>
      <c r="P183" s="111"/>
      <c r="Q183" s="87"/>
      <c r="S183" s="85"/>
    </row>
    <row r="184" spans="1:19" s="84" customFormat="1" x14ac:dyDescent="0.25">
      <c r="A184" s="112"/>
      <c r="B184" s="114"/>
      <c r="D184" s="88"/>
      <c r="E184" s="88"/>
      <c r="F184" s="88"/>
      <c r="G184" s="88"/>
      <c r="H184" s="89"/>
      <c r="I184" s="89"/>
      <c r="J184" s="89"/>
      <c r="K184" s="89"/>
      <c r="L184" s="89"/>
      <c r="M184" s="89"/>
      <c r="N184" s="89"/>
      <c r="O184" s="111"/>
      <c r="P184" s="111"/>
      <c r="Q184" s="87"/>
      <c r="S184" s="85"/>
    </row>
    <row r="185" spans="1:19" s="84" customFormat="1" x14ac:dyDescent="0.25">
      <c r="A185" s="112"/>
      <c r="B185" s="114"/>
      <c r="D185" s="88"/>
      <c r="E185" s="88"/>
      <c r="F185" s="88"/>
      <c r="G185" s="88"/>
      <c r="H185" s="89"/>
      <c r="I185" s="89"/>
      <c r="J185" s="89"/>
      <c r="K185" s="89"/>
      <c r="L185" s="89"/>
      <c r="M185" s="89"/>
      <c r="N185" s="89"/>
      <c r="O185" s="111"/>
      <c r="P185" s="111"/>
      <c r="Q185" s="87"/>
      <c r="S185" s="85"/>
    </row>
    <row r="186" spans="1:19" s="84" customFormat="1" x14ac:dyDescent="0.25">
      <c r="A186" s="112"/>
      <c r="B186" s="114"/>
      <c r="D186" s="88"/>
      <c r="E186" s="88"/>
      <c r="F186" s="88"/>
      <c r="G186" s="88"/>
      <c r="H186" s="89"/>
      <c r="I186" s="89"/>
      <c r="J186" s="89"/>
      <c r="K186" s="89"/>
      <c r="L186" s="89"/>
      <c r="M186" s="89"/>
      <c r="N186" s="89"/>
      <c r="O186" s="111"/>
      <c r="P186" s="111"/>
      <c r="Q186" s="87"/>
      <c r="S186" s="85"/>
    </row>
    <row r="187" spans="1:19" s="84" customFormat="1" x14ac:dyDescent="0.25">
      <c r="A187" s="112"/>
      <c r="B187" s="114"/>
      <c r="D187" s="88"/>
      <c r="E187" s="88"/>
      <c r="F187" s="88"/>
      <c r="G187" s="88"/>
      <c r="H187" s="89"/>
      <c r="I187" s="89"/>
      <c r="J187" s="89"/>
      <c r="K187" s="89"/>
      <c r="L187" s="89"/>
      <c r="M187" s="89"/>
      <c r="N187" s="89"/>
      <c r="O187" s="111"/>
      <c r="P187" s="111"/>
      <c r="Q187" s="87"/>
      <c r="S187" s="85"/>
    </row>
    <row r="188" spans="1:19" s="84" customFormat="1" x14ac:dyDescent="0.25">
      <c r="A188" s="112"/>
      <c r="B188" s="114"/>
      <c r="D188" s="88"/>
      <c r="E188" s="88"/>
      <c r="F188" s="88"/>
      <c r="G188" s="88"/>
      <c r="H188" s="89"/>
      <c r="I188" s="89"/>
      <c r="J188" s="89"/>
      <c r="K188" s="89"/>
      <c r="L188" s="89"/>
      <c r="M188" s="89"/>
      <c r="N188" s="89"/>
      <c r="O188" s="111"/>
      <c r="P188" s="111"/>
      <c r="Q188" s="87"/>
      <c r="S188" s="85"/>
    </row>
    <row r="189" spans="1:19" s="84" customFormat="1" x14ac:dyDescent="0.25">
      <c r="A189" s="112"/>
      <c r="B189" s="114"/>
      <c r="D189" s="88"/>
      <c r="E189" s="88"/>
      <c r="F189" s="88"/>
      <c r="G189" s="88"/>
      <c r="H189" s="89"/>
      <c r="I189" s="89"/>
      <c r="J189" s="89"/>
      <c r="K189" s="89"/>
      <c r="L189" s="89"/>
      <c r="M189" s="89"/>
      <c r="N189" s="89"/>
      <c r="O189" s="111"/>
      <c r="P189" s="111"/>
      <c r="Q189" s="87"/>
      <c r="S189" s="85"/>
    </row>
    <row r="190" spans="1:19" s="84" customFormat="1" x14ac:dyDescent="0.25">
      <c r="A190" s="112"/>
      <c r="B190" s="114"/>
      <c r="D190" s="88"/>
      <c r="E190" s="88"/>
      <c r="F190" s="88"/>
      <c r="G190" s="88"/>
      <c r="H190" s="89"/>
      <c r="I190" s="89"/>
      <c r="J190" s="89"/>
      <c r="K190" s="89"/>
      <c r="L190" s="89"/>
      <c r="M190" s="89"/>
      <c r="N190" s="89"/>
      <c r="O190" s="111"/>
      <c r="P190" s="111"/>
      <c r="Q190" s="87"/>
      <c r="S190" s="85"/>
    </row>
    <row r="191" spans="1:19" s="84" customFormat="1" x14ac:dyDescent="0.25">
      <c r="A191" s="112"/>
      <c r="B191" s="114"/>
      <c r="D191" s="88"/>
      <c r="E191" s="88"/>
      <c r="F191" s="88"/>
      <c r="G191" s="88"/>
      <c r="H191" s="89"/>
      <c r="I191" s="89"/>
      <c r="J191" s="89"/>
      <c r="K191" s="89"/>
      <c r="L191" s="89"/>
      <c r="M191" s="89"/>
      <c r="N191" s="89"/>
      <c r="O191" s="111"/>
      <c r="P191" s="111"/>
      <c r="Q191" s="87"/>
      <c r="S191" s="85"/>
    </row>
    <row r="192" spans="1:19" s="84" customFormat="1" x14ac:dyDescent="0.25">
      <c r="A192" s="112"/>
      <c r="B192" s="114"/>
      <c r="D192" s="88"/>
      <c r="E192" s="88"/>
      <c r="F192" s="88"/>
      <c r="G192" s="88"/>
      <c r="H192" s="89"/>
      <c r="I192" s="89"/>
      <c r="J192" s="89"/>
      <c r="K192" s="89"/>
      <c r="L192" s="89"/>
      <c r="M192" s="89"/>
      <c r="N192" s="89"/>
      <c r="O192" s="111"/>
      <c r="P192" s="111"/>
      <c r="Q192" s="87"/>
      <c r="S192" s="85"/>
    </row>
    <row r="193" spans="1:19" s="84" customFormat="1" x14ac:dyDescent="0.25">
      <c r="A193" s="112"/>
      <c r="B193" s="114"/>
      <c r="D193" s="88"/>
      <c r="E193" s="88"/>
      <c r="F193" s="88"/>
      <c r="G193" s="88"/>
      <c r="H193" s="89"/>
      <c r="I193" s="89"/>
      <c r="J193" s="89"/>
      <c r="K193" s="89"/>
      <c r="L193" s="89"/>
      <c r="M193" s="89"/>
      <c r="N193" s="89"/>
      <c r="O193" s="111"/>
      <c r="P193" s="111"/>
      <c r="Q193" s="87"/>
      <c r="S193" s="85"/>
    </row>
    <row r="194" spans="1:19" s="84" customFormat="1" x14ac:dyDescent="0.25">
      <c r="A194" s="112"/>
      <c r="B194" s="114"/>
      <c r="D194" s="88"/>
      <c r="E194" s="88"/>
      <c r="F194" s="88"/>
      <c r="G194" s="88"/>
      <c r="H194" s="89"/>
      <c r="I194" s="89"/>
      <c r="J194" s="89"/>
      <c r="K194" s="89"/>
      <c r="L194" s="89"/>
      <c r="M194" s="89"/>
      <c r="N194" s="89"/>
      <c r="O194" s="111"/>
      <c r="P194" s="111"/>
      <c r="Q194" s="87"/>
      <c r="S194" s="85"/>
    </row>
    <row r="195" spans="1:19" s="84" customFormat="1" x14ac:dyDescent="0.25">
      <c r="A195" s="112"/>
      <c r="B195" s="114"/>
      <c r="D195" s="88"/>
      <c r="E195" s="88"/>
      <c r="F195" s="88"/>
      <c r="G195" s="88"/>
      <c r="H195" s="89"/>
      <c r="I195" s="89"/>
      <c r="J195" s="89"/>
      <c r="K195" s="89"/>
      <c r="L195" s="89"/>
      <c r="M195" s="89"/>
      <c r="N195" s="89"/>
      <c r="O195" s="111"/>
      <c r="P195" s="111"/>
      <c r="Q195" s="87"/>
      <c r="S195" s="85"/>
    </row>
    <row r="196" spans="1:19" s="84" customFormat="1" x14ac:dyDescent="0.25">
      <c r="A196" s="112"/>
      <c r="B196" s="114"/>
      <c r="D196" s="88"/>
      <c r="E196" s="88"/>
      <c r="F196" s="88"/>
      <c r="G196" s="88"/>
      <c r="H196" s="89"/>
      <c r="I196" s="89"/>
      <c r="J196" s="89"/>
      <c r="K196" s="89"/>
      <c r="L196" s="89"/>
      <c r="M196" s="89"/>
      <c r="N196" s="89"/>
      <c r="O196" s="111"/>
      <c r="P196" s="111"/>
      <c r="Q196" s="87"/>
      <c r="S196" s="85"/>
    </row>
    <row r="197" spans="1:19" s="84" customFormat="1" x14ac:dyDescent="0.25">
      <c r="A197" s="112"/>
      <c r="B197" s="114"/>
      <c r="D197" s="88"/>
      <c r="E197" s="88"/>
      <c r="F197" s="88"/>
      <c r="G197" s="88"/>
      <c r="H197" s="89"/>
      <c r="I197" s="89"/>
      <c r="J197" s="89"/>
      <c r="K197" s="89"/>
      <c r="L197" s="89"/>
      <c r="M197" s="89"/>
      <c r="N197" s="89"/>
      <c r="O197" s="111"/>
      <c r="P197" s="111"/>
      <c r="Q197" s="87"/>
      <c r="S197" s="85"/>
    </row>
    <row r="198" spans="1:19" s="84" customFormat="1" x14ac:dyDescent="0.25">
      <c r="A198" s="112"/>
      <c r="B198" s="114"/>
      <c r="D198" s="88"/>
      <c r="E198" s="88"/>
      <c r="F198" s="88"/>
      <c r="G198" s="88"/>
      <c r="H198" s="89"/>
      <c r="I198" s="89"/>
      <c r="J198" s="89"/>
      <c r="K198" s="89"/>
      <c r="L198" s="89"/>
      <c r="M198" s="89"/>
      <c r="N198" s="89"/>
      <c r="O198" s="111"/>
      <c r="P198" s="111"/>
      <c r="Q198" s="87"/>
      <c r="S198" s="85"/>
    </row>
    <row r="199" spans="1:19" s="84" customFormat="1" x14ac:dyDescent="0.25">
      <c r="A199" s="112"/>
      <c r="B199" s="114"/>
      <c r="D199" s="88"/>
      <c r="E199" s="88"/>
      <c r="F199" s="88"/>
      <c r="G199" s="88"/>
      <c r="H199" s="89"/>
      <c r="I199" s="89"/>
      <c r="J199" s="89"/>
      <c r="K199" s="89"/>
      <c r="L199" s="89"/>
      <c r="M199" s="89"/>
      <c r="N199" s="89"/>
      <c r="O199" s="111"/>
      <c r="P199" s="111"/>
      <c r="Q199" s="87"/>
      <c r="S199" s="85"/>
    </row>
    <row r="200" spans="1:19" s="84" customFormat="1" x14ac:dyDescent="0.25">
      <c r="A200" s="112"/>
      <c r="B200" s="114"/>
      <c r="D200" s="88"/>
      <c r="E200" s="88"/>
      <c r="F200" s="88"/>
      <c r="G200" s="88"/>
      <c r="H200" s="89"/>
      <c r="I200" s="89"/>
      <c r="J200" s="89"/>
      <c r="K200" s="89"/>
      <c r="L200" s="89"/>
      <c r="M200" s="89"/>
      <c r="N200" s="89"/>
      <c r="O200" s="111"/>
      <c r="P200" s="111"/>
      <c r="Q200" s="87"/>
      <c r="S200" s="85"/>
    </row>
    <row r="201" spans="1:19" s="84" customFormat="1" x14ac:dyDescent="0.25">
      <c r="A201" s="112"/>
      <c r="B201" s="114"/>
      <c r="D201" s="88"/>
      <c r="E201" s="88"/>
      <c r="F201" s="88"/>
      <c r="G201" s="88"/>
      <c r="H201" s="89"/>
      <c r="I201" s="89"/>
      <c r="J201" s="89"/>
      <c r="K201" s="89"/>
      <c r="L201" s="89"/>
      <c r="M201" s="89"/>
      <c r="N201" s="89"/>
      <c r="O201" s="111"/>
      <c r="P201" s="111"/>
      <c r="Q201" s="87"/>
      <c r="S201" s="85"/>
    </row>
    <row r="202" spans="1:19" s="84" customFormat="1" x14ac:dyDescent="0.25">
      <c r="A202" s="112"/>
      <c r="B202" s="114"/>
      <c r="D202" s="88"/>
      <c r="E202" s="88"/>
      <c r="F202" s="88"/>
      <c r="G202" s="88"/>
      <c r="H202" s="89"/>
      <c r="I202" s="89"/>
      <c r="J202" s="89"/>
      <c r="K202" s="89"/>
      <c r="L202" s="89"/>
      <c r="M202" s="89"/>
      <c r="N202" s="89"/>
      <c r="O202" s="111"/>
      <c r="P202" s="111"/>
      <c r="Q202" s="87"/>
      <c r="S202" s="85"/>
    </row>
    <row r="203" spans="1:19" s="84" customFormat="1" x14ac:dyDescent="0.25">
      <c r="A203" s="112"/>
      <c r="B203" s="114"/>
      <c r="D203" s="88"/>
      <c r="E203" s="88"/>
      <c r="F203" s="88"/>
      <c r="G203" s="88"/>
      <c r="H203" s="89"/>
      <c r="I203" s="89"/>
      <c r="J203" s="89"/>
      <c r="K203" s="89"/>
      <c r="L203" s="89"/>
      <c r="M203" s="89"/>
      <c r="N203" s="89"/>
      <c r="O203" s="111"/>
      <c r="P203" s="111"/>
      <c r="Q203" s="87"/>
      <c r="S203" s="85"/>
    </row>
    <row r="204" spans="1:19" s="84" customFormat="1" x14ac:dyDescent="0.25">
      <c r="A204" s="112"/>
      <c r="B204" s="114"/>
      <c r="D204" s="88"/>
      <c r="E204" s="88"/>
      <c r="F204" s="88"/>
      <c r="G204" s="88"/>
      <c r="H204" s="89"/>
      <c r="I204" s="89"/>
      <c r="J204" s="89"/>
      <c r="K204" s="89"/>
      <c r="L204" s="89"/>
      <c r="M204" s="89"/>
      <c r="N204" s="89"/>
      <c r="O204" s="111"/>
      <c r="P204" s="111"/>
      <c r="Q204" s="87"/>
      <c r="S204" s="85"/>
    </row>
    <row r="205" spans="1:19" s="84" customFormat="1" x14ac:dyDescent="0.25">
      <c r="A205" s="112"/>
      <c r="B205" s="114"/>
      <c r="D205" s="88"/>
      <c r="E205" s="88"/>
      <c r="F205" s="88"/>
      <c r="G205" s="88"/>
      <c r="H205" s="89"/>
      <c r="I205" s="89"/>
      <c r="J205" s="89"/>
      <c r="K205" s="89"/>
      <c r="L205" s="89"/>
      <c r="M205" s="89"/>
      <c r="N205" s="89"/>
      <c r="O205" s="111"/>
      <c r="P205" s="111"/>
      <c r="Q205" s="87"/>
      <c r="S205" s="85"/>
    </row>
    <row r="206" spans="1:19" s="84" customFormat="1" x14ac:dyDescent="0.25">
      <c r="A206" s="112"/>
      <c r="B206" s="114"/>
      <c r="D206" s="88"/>
      <c r="E206" s="88"/>
      <c r="F206" s="88"/>
      <c r="G206" s="88"/>
      <c r="H206" s="89"/>
      <c r="I206" s="89"/>
      <c r="J206" s="89"/>
      <c r="K206" s="89"/>
      <c r="L206" s="89"/>
      <c r="M206" s="89"/>
      <c r="N206" s="89"/>
      <c r="O206" s="111"/>
      <c r="P206" s="111"/>
      <c r="Q206" s="87"/>
      <c r="S206" s="85"/>
    </row>
    <row r="207" spans="1:19" s="84" customFormat="1" x14ac:dyDescent="0.25">
      <c r="A207" s="112"/>
      <c r="B207" s="114"/>
      <c r="D207" s="88"/>
      <c r="E207" s="88"/>
      <c r="F207" s="88"/>
      <c r="G207" s="88"/>
      <c r="H207" s="89"/>
      <c r="I207" s="89"/>
      <c r="J207" s="89"/>
      <c r="K207" s="89"/>
      <c r="L207" s="89"/>
      <c r="M207" s="89"/>
      <c r="N207" s="89"/>
      <c r="O207" s="111"/>
      <c r="P207" s="111"/>
      <c r="Q207" s="87"/>
      <c r="S207" s="85"/>
    </row>
    <row r="208" spans="1:19" s="84" customFormat="1" x14ac:dyDescent="0.25">
      <c r="A208" s="112"/>
      <c r="B208" s="114"/>
      <c r="D208" s="88"/>
      <c r="E208" s="88"/>
      <c r="F208" s="88"/>
      <c r="G208" s="88"/>
      <c r="H208" s="89"/>
      <c r="I208" s="89"/>
      <c r="J208" s="89"/>
      <c r="K208" s="89"/>
      <c r="L208" s="89"/>
      <c r="M208" s="89"/>
      <c r="N208" s="89"/>
      <c r="O208" s="111"/>
      <c r="P208" s="111"/>
      <c r="Q208" s="87"/>
      <c r="S208" s="85"/>
    </row>
    <row r="209" spans="1:19" s="84" customFormat="1" x14ac:dyDescent="0.25">
      <c r="A209" s="112"/>
      <c r="B209" s="114"/>
      <c r="D209" s="88"/>
      <c r="E209" s="88"/>
      <c r="F209" s="88"/>
      <c r="G209" s="88"/>
      <c r="H209" s="89"/>
      <c r="I209" s="89"/>
      <c r="J209" s="89"/>
      <c r="K209" s="89"/>
      <c r="L209" s="89"/>
      <c r="M209" s="89"/>
      <c r="N209" s="89"/>
      <c r="O209" s="111"/>
      <c r="P209" s="111"/>
      <c r="Q209" s="87"/>
      <c r="S209" s="85"/>
    </row>
    <row r="210" spans="1:19" s="84" customFormat="1" x14ac:dyDescent="0.25">
      <c r="A210" s="112"/>
      <c r="B210" s="114"/>
      <c r="D210" s="88"/>
      <c r="E210" s="88"/>
      <c r="F210" s="88"/>
      <c r="G210" s="88"/>
      <c r="H210" s="89"/>
      <c r="I210" s="89"/>
      <c r="J210" s="89"/>
      <c r="K210" s="89"/>
      <c r="L210" s="89"/>
      <c r="M210" s="89"/>
      <c r="N210" s="89"/>
      <c r="O210" s="111"/>
      <c r="P210" s="111"/>
      <c r="Q210" s="87"/>
      <c r="S210" s="85"/>
    </row>
    <row r="211" spans="1:19" s="84" customFormat="1" x14ac:dyDescent="0.25">
      <c r="A211" s="112"/>
      <c r="B211" s="114"/>
      <c r="D211" s="88"/>
      <c r="E211" s="88"/>
      <c r="F211" s="88"/>
      <c r="G211" s="88"/>
      <c r="H211" s="89"/>
      <c r="I211" s="89"/>
      <c r="J211" s="89"/>
      <c r="K211" s="89"/>
      <c r="L211" s="89"/>
      <c r="M211" s="89"/>
      <c r="N211" s="89"/>
      <c r="O211" s="111"/>
      <c r="P211" s="111"/>
      <c r="Q211" s="87"/>
      <c r="S211" s="85"/>
    </row>
    <row r="212" spans="1:19" s="84" customFormat="1" x14ac:dyDescent="0.25">
      <c r="A212" s="112"/>
      <c r="B212" s="114"/>
      <c r="D212" s="88"/>
      <c r="E212" s="88"/>
      <c r="F212" s="88"/>
      <c r="G212" s="88"/>
      <c r="H212" s="89"/>
      <c r="I212" s="89"/>
      <c r="J212" s="89"/>
      <c r="K212" s="89"/>
      <c r="L212" s="89"/>
      <c r="M212" s="89"/>
      <c r="N212" s="89"/>
      <c r="O212" s="111"/>
      <c r="P212" s="111"/>
      <c r="Q212" s="87"/>
      <c r="S212" s="85"/>
    </row>
    <row r="213" spans="1:19" s="84" customFormat="1" x14ac:dyDescent="0.25">
      <c r="A213" s="112"/>
      <c r="B213" s="114"/>
      <c r="D213" s="88"/>
      <c r="E213" s="88"/>
      <c r="F213" s="88"/>
      <c r="G213" s="88"/>
      <c r="H213" s="89"/>
      <c r="I213" s="89"/>
      <c r="J213" s="89"/>
      <c r="K213" s="89"/>
      <c r="L213" s="89"/>
      <c r="M213" s="89"/>
      <c r="N213" s="89"/>
      <c r="O213" s="111"/>
      <c r="P213" s="111"/>
      <c r="Q213" s="87"/>
      <c r="S213" s="85"/>
    </row>
    <row r="214" spans="1:19" s="84" customFormat="1" x14ac:dyDescent="0.25">
      <c r="A214" s="112"/>
      <c r="B214" s="114"/>
      <c r="D214" s="88"/>
      <c r="E214" s="88"/>
      <c r="F214" s="88"/>
      <c r="G214" s="88"/>
      <c r="H214" s="89"/>
      <c r="I214" s="89"/>
      <c r="J214" s="89"/>
      <c r="K214" s="89"/>
      <c r="L214" s="89"/>
      <c r="M214" s="89"/>
      <c r="N214" s="89"/>
      <c r="O214" s="111"/>
      <c r="P214" s="111"/>
      <c r="Q214" s="87"/>
      <c r="S214" s="85"/>
    </row>
    <row r="215" spans="1:19" s="84" customFormat="1" x14ac:dyDescent="0.25">
      <c r="A215" s="112"/>
      <c r="B215" s="114"/>
      <c r="D215" s="88"/>
      <c r="E215" s="88"/>
      <c r="F215" s="88"/>
      <c r="G215" s="88"/>
      <c r="H215" s="89"/>
      <c r="I215" s="89"/>
      <c r="J215" s="89"/>
      <c r="K215" s="89"/>
      <c r="L215" s="89"/>
      <c r="M215" s="89"/>
      <c r="N215" s="89"/>
      <c r="O215" s="111"/>
      <c r="P215" s="111"/>
      <c r="Q215" s="87"/>
      <c r="S215" s="85"/>
    </row>
    <row r="216" spans="1:19" s="84" customFormat="1" x14ac:dyDescent="0.25">
      <c r="A216" s="112"/>
      <c r="B216" s="114"/>
      <c r="D216" s="88"/>
      <c r="E216" s="88"/>
      <c r="F216" s="88"/>
      <c r="G216" s="88"/>
      <c r="H216" s="89"/>
      <c r="I216" s="89"/>
      <c r="J216" s="89"/>
      <c r="K216" s="89"/>
      <c r="L216" s="89"/>
      <c r="M216" s="89"/>
      <c r="N216" s="89"/>
      <c r="O216" s="111"/>
      <c r="P216" s="111"/>
      <c r="Q216" s="87"/>
      <c r="S216" s="85"/>
    </row>
    <row r="217" spans="1:19" s="84" customFormat="1" x14ac:dyDescent="0.25">
      <c r="A217" s="112"/>
      <c r="B217" s="114"/>
      <c r="D217" s="88"/>
      <c r="E217" s="88"/>
      <c r="F217" s="88"/>
      <c r="G217" s="88"/>
      <c r="H217" s="89"/>
      <c r="I217" s="89"/>
      <c r="J217" s="89"/>
      <c r="K217" s="89"/>
      <c r="L217" s="89"/>
      <c r="M217" s="89"/>
      <c r="N217" s="89"/>
      <c r="O217" s="111"/>
      <c r="P217" s="111"/>
      <c r="Q217" s="87"/>
      <c r="S217" s="85"/>
    </row>
    <row r="218" spans="1:19" s="84" customFormat="1" x14ac:dyDescent="0.25">
      <c r="A218" s="112"/>
      <c r="B218" s="114"/>
      <c r="D218" s="88"/>
      <c r="E218" s="88"/>
      <c r="F218" s="88"/>
      <c r="G218" s="88"/>
      <c r="H218" s="89"/>
      <c r="I218" s="89"/>
      <c r="J218" s="89"/>
      <c r="K218" s="89"/>
      <c r="L218" s="89"/>
      <c r="M218" s="89"/>
      <c r="N218" s="89"/>
      <c r="O218" s="111"/>
      <c r="P218" s="111"/>
      <c r="Q218" s="87"/>
      <c r="S218" s="85"/>
    </row>
    <row r="219" spans="1:19" s="84" customFormat="1" x14ac:dyDescent="0.25">
      <c r="A219" s="112"/>
      <c r="B219" s="114"/>
      <c r="D219" s="88"/>
      <c r="E219" s="88"/>
      <c r="F219" s="88"/>
      <c r="G219" s="88"/>
      <c r="H219" s="89"/>
      <c r="I219" s="89"/>
      <c r="J219" s="89"/>
      <c r="K219" s="89"/>
      <c r="L219" s="89"/>
      <c r="M219" s="89"/>
      <c r="N219" s="89"/>
      <c r="O219" s="111"/>
      <c r="P219" s="111"/>
      <c r="Q219" s="87"/>
      <c r="S219" s="85"/>
    </row>
    <row r="220" spans="1:19" s="84" customFormat="1" x14ac:dyDescent="0.25">
      <c r="A220" s="112"/>
      <c r="B220" s="114"/>
      <c r="D220" s="88"/>
      <c r="E220" s="88"/>
      <c r="F220" s="88"/>
      <c r="G220" s="88"/>
      <c r="H220" s="89"/>
      <c r="I220" s="89"/>
      <c r="J220" s="89"/>
      <c r="K220" s="89"/>
      <c r="L220" s="89"/>
      <c r="M220" s="89"/>
      <c r="N220" s="89"/>
      <c r="O220" s="111"/>
      <c r="P220" s="111"/>
      <c r="Q220" s="87"/>
      <c r="S220" s="85"/>
    </row>
    <row r="221" spans="1:19" s="84" customFormat="1" x14ac:dyDescent="0.25">
      <c r="A221" s="112"/>
      <c r="B221" s="114"/>
      <c r="D221" s="88"/>
      <c r="E221" s="88"/>
      <c r="F221" s="88"/>
      <c r="G221" s="88"/>
      <c r="H221" s="89"/>
      <c r="I221" s="89"/>
      <c r="J221" s="89"/>
      <c r="K221" s="89"/>
      <c r="L221" s="89"/>
      <c r="M221" s="89"/>
      <c r="N221" s="89"/>
      <c r="O221" s="111"/>
      <c r="P221" s="111"/>
      <c r="Q221" s="87"/>
      <c r="S221" s="85"/>
    </row>
    <row r="222" spans="1:19" s="84" customFormat="1" x14ac:dyDescent="0.25">
      <c r="A222" s="112"/>
      <c r="B222" s="114"/>
      <c r="D222" s="88"/>
      <c r="E222" s="88"/>
      <c r="F222" s="88"/>
      <c r="G222" s="88"/>
      <c r="H222" s="89"/>
      <c r="I222" s="89"/>
      <c r="J222" s="89"/>
      <c r="K222" s="89"/>
      <c r="L222" s="89"/>
      <c r="M222" s="89"/>
      <c r="N222" s="89"/>
      <c r="O222" s="111"/>
      <c r="P222" s="111"/>
      <c r="Q222" s="87"/>
      <c r="S222" s="85"/>
    </row>
    <row r="223" spans="1:19" s="84" customFormat="1" x14ac:dyDescent="0.25">
      <c r="A223" s="112"/>
      <c r="B223" s="114"/>
      <c r="D223" s="88"/>
      <c r="E223" s="88"/>
      <c r="F223" s="88"/>
      <c r="G223" s="88"/>
      <c r="H223" s="89"/>
      <c r="I223" s="89"/>
      <c r="J223" s="89"/>
      <c r="K223" s="89"/>
      <c r="L223" s="89"/>
      <c r="M223" s="89"/>
      <c r="N223" s="89"/>
      <c r="O223" s="111"/>
      <c r="P223" s="111"/>
      <c r="Q223" s="87"/>
      <c r="S223" s="85"/>
    </row>
    <row r="224" spans="1:19" s="84" customFormat="1" x14ac:dyDescent="0.25">
      <c r="A224" s="112"/>
      <c r="B224" s="114"/>
      <c r="D224" s="88"/>
      <c r="E224" s="88"/>
      <c r="F224" s="88"/>
      <c r="G224" s="88"/>
      <c r="H224" s="89"/>
      <c r="I224" s="89"/>
      <c r="J224" s="89"/>
      <c r="K224" s="89"/>
      <c r="L224" s="89"/>
      <c r="M224" s="89"/>
      <c r="N224" s="89"/>
      <c r="O224" s="111"/>
      <c r="P224" s="111"/>
      <c r="Q224" s="87"/>
      <c r="S224" s="85"/>
    </row>
    <row r="225" spans="1:19" s="84" customFormat="1" x14ac:dyDescent="0.25">
      <c r="A225" s="112"/>
      <c r="B225" s="114"/>
      <c r="D225" s="88"/>
      <c r="E225" s="88"/>
      <c r="F225" s="88"/>
      <c r="G225" s="88"/>
      <c r="H225" s="89"/>
      <c r="I225" s="89"/>
      <c r="J225" s="89"/>
      <c r="K225" s="89"/>
      <c r="L225" s="89"/>
      <c r="M225" s="89"/>
      <c r="N225" s="89"/>
      <c r="O225" s="111"/>
      <c r="P225" s="111"/>
      <c r="Q225" s="87"/>
      <c r="S225" s="85"/>
    </row>
    <row r="226" spans="1:19" s="84" customFormat="1" x14ac:dyDescent="0.25">
      <c r="A226" s="112"/>
      <c r="B226" s="114"/>
      <c r="D226" s="88"/>
      <c r="E226" s="88"/>
      <c r="F226" s="88"/>
      <c r="G226" s="88"/>
      <c r="H226" s="89"/>
      <c r="I226" s="89"/>
      <c r="J226" s="89"/>
      <c r="K226" s="89"/>
      <c r="L226" s="89"/>
      <c r="M226" s="89"/>
      <c r="N226" s="89"/>
      <c r="O226" s="111"/>
      <c r="P226" s="111"/>
      <c r="Q226" s="87"/>
      <c r="S226" s="85"/>
    </row>
    <row r="227" spans="1:19" s="84" customFormat="1" x14ac:dyDescent="0.25">
      <c r="A227" s="112"/>
      <c r="B227" s="114"/>
      <c r="D227" s="88"/>
      <c r="E227" s="88"/>
      <c r="F227" s="88"/>
      <c r="G227" s="88"/>
      <c r="H227" s="89"/>
      <c r="I227" s="89"/>
      <c r="J227" s="89"/>
      <c r="K227" s="89"/>
      <c r="L227" s="89"/>
      <c r="M227" s="89"/>
      <c r="N227" s="89"/>
      <c r="O227" s="111"/>
      <c r="P227" s="111"/>
      <c r="Q227" s="87"/>
      <c r="S227" s="85"/>
    </row>
    <row r="228" spans="1:19" s="84" customFormat="1" x14ac:dyDescent="0.25">
      <c r="A228" s="112"/>
      <c r="B228" s="114"/>
      <c r="D228" s="88"/>
      <c r="E228" s="88"/>
      <c r="F228" s="88"/>
      <c r="G228" s="88"/>
      <c r="H228" s="89"/>
      <c r="I228" s="89"/>
      <c r="J228" s="89"/>
      <c r="K228" s="89"/>
      <c r="L228" s="89"/>
      <c r="M228" s="89"/>
      <c r="N228" s="89"/>
      <c r="O228" s="111"/>
      <c r="P228" s="111"/>
      <c r="Q228" s="87"/>
      <c r="S228" s="85"/>
    </row>
    <row r="229" spans="1:19" s="84" customFormat="1" x14ac:dyDescent="0.25">
      <c r="A229" s="112"/>
      <c r="B229" s="114"/>
      <c r="D229" s="88"/>
      <c r="E229" s="88"/>
      <c r="F229" s="88"/>
      <c r="G229" s="88"/>
      <c r="H229" s="89"/>
      <c r="I229" s="89"/>
      <c r="J229" s="89"/>
      <c r="K229" s="89"/>
      <c r="L229" s="89"/>
      <c r="M229" s="89"/>
      <c r="N229" s="89"/>
      <c r="O229" s="111"/>
      <c r="P229" s="111"/>
      <c r="Q229" s="87"/>
      <c r="S229" s="85"/>
    </row>
    <row r="230" spans="1:19" s="84" customFormat="1" x14ac:dyDescent="0.25">
      <c r="A230" s="112"/>
      <c r="B230" s="114"/>
      <c r="D230" s="88"/>
      <c r="E230" s="88"/>
      <c r="F230" s="88"/>
      <c r="G230" s="88"/>
      <c r="H230" s="89"/>
      <c r="I230" s="89"/>
      <c r="J230" s="89"/>
      <c r="K230" s="89"/>
      <c r="L230" s="89"/>
      <c r="M230" s="89"/>
      <c r="N230" s="89"/>
      <c r="O230" s="111"/>
      <c r="P230" s="111"/>
      <c r="Q230" s="87"/>
      <c r="S230" s="85"/>
    </row>
    <row r="231" spans="1:19" s="84" customFormat="1" x14ac:dyDescent="0.25">
      <c r="A231" s="112"/>
      <c r="B231" s="114"/>
      <c r="D231" s="88"/>
      <c r="E231" s="88"/>
      <c r="F231" s="88"/>
      <c r="G231" s="88"/>
      <c r="H231" s="89"/>
      <c r="I231" s="89"/>
      <c r="J231" s="89"/>
      <c r="K231" s="89"/>
      <c r="L231" s="89"/>
      <c r="M231" s="89"/>
      <c r="N231" s="89"/>
      <c r="O231" s="111"/>
      <c r="P231" s="111"/>
      <c r="Q231" s="87"/>
      <c r="S231" s="85"/>
    </row>
    <row r="232" spans="1:19" s="84" customFormat="1" x14ac:dyDescent="0.25">
      <c r="A232" s="112"/>
      <c r="B232" s="114"/>
      <c r="D232" s="88"/>
      <c r="E232" s="88"/>
      <c r="F232" s="88"/>
      <c r="G232" s="88"/>
      <c r="H232" s="89"/>
      <c r="I232" s="89"/>
      <c r="J232" s="89"/>
      <c r="K232" s="89"/>
      <c r="L232" s="89"/>
      <c r="M232" s="89"/>
      <c r="N232" s="89"/>
      <c r="O232" s="111"/>
      <c r="P232" s="111"/>
      <c r="Q232" s="87"/>
      <c r="S232" s="85"/>
    </row>
    <row r="233" spans="1:19" s="84" customFormat="1" x14ac:dyDescent="0.25">
      <c r="A233" s="112"/>
      <c r="B233" s="114"/>
      <c r="D233" s="88"/>
      <c r="E233" s="88"/>
      <c r="F233" s="88"/>
      <c r="G233" s="88"/>
      <c r="H233" s="89"/>
      <c r="I233" s="89"/>
      <c r="J233" s="89"/>
      <c r="K233" s="89"/>
      <c r="L233" s="89"/>
      <c r="M233" s="89"/>
      <c r="N233" s="89"/>
      <c r="O233" s="111"/>
      <c r="P233" s="111"/>
      <c r="Q233" s="87"/>
      <c r="S233" s="85"/>
    </row>
    <row r="234" spans="1:19" s="84" customFormat="1" x14ac:dyDescent="0.25">
      <c r="A234" s="112"/>
      <c r="B234" s="114"/>
      <c r="D234" s="88"/>
      <c r="E234" s="88"/>
      <c r="F234" s="88"/>
      <c r="G234" s="88"/>
      <c r="H234" s="89"/>
      <c r="I234" s="89"/>
      <c r="J234" s="89"/>
      <c r="K234" s="89"/>
      <c r="L234" s="89"/>
      <c r="M234" s="89"/>
      <c r="N234" s="89"/>
      <c r="O234" s="111"/>
      <c r="P234" s="111"/>
      <c r="Q234" s="87"/>
      <c r="S234" s="85"/>
    </row>
    <row r="235" spans="1:19" s="84" customFormat="1" x14ac:dyDescent="0.25">
      <c r="A235" s="112"/>
      <c r="B235" s="114"/>
      <c r="D235" s="88"/>
      <c r="E235" s="88"/>
      <c r="F235" s="88"/>
      <c r="G235" s="88"/>
      <c r="H235" s="89"/>
      <c r="I235" s="89"/>
      <c r="J235" s="89"/>
      <c r="K235" s="89"/>
      <c r="L235" s="89"/>
      <c r="M235" s="89"/>
      <c r="N235" s="89"/>
      <c r="O235" s="111"/>
      <c r="P235" s="111"/>
      <c r="Q235" s="87"/>
      <c r="S235" s="85"/>
    </row>
    <row r="236" spans="1:19" s="84" customFormat="1" x14ac:dyDescent="0.25">
      <c r="A236" s="112"/>
      <c r="B236" s="114"/>
      <c r="D236" s="88"/>
      <c r="E236" s="88"/>
      <c r="F236" s="88"/>
      <c r="G236" s="88"/>
      <c r="H236" s="89"/>
      <c r="I236" s="89"/>
      <c r="J236" s="89"/>
      <c r="K236" s="89"/>
      <c r="L236" s="89"/>
      <c r="M236" s="89"/>
      <c r="N236" s="89"/>
      <c r="O236" s="111"/>
      <c r="P236" s="111"/>
      <c r="Q236" s="87"/>
      <c r="S236" s="85"/>
    </row>
    <row r="237" spans="1:19" s="84" customFormat="1" x14ac:dyDescent="0.25">
      <c r="A237" s="112"/>
      <c r="B237" s="114"/>
      <c r="D237" s="88"/>
      <c r="E237" s="88"/>
      <c r="F237" s="88"/>
      <c r="G237" s="88"/>
      <c r="H237" s="89"/>
      <c r="I237" s="89"/>
      <c r="J237" s="89"/>
      <c r="K237" s="89"/>
      <c r="L237" s="89"/>
      <c r="M237" s="89"/>
      <c r="N237" s="89"/>
      <c r="O237" s="111"/>
      <c r="P237" s="111"/>
      <c r="Q237" s="87"/>
      <c r="S237" s="85"/>
    </row>
    <row r="238" spans="1:19" s="84" customFormat="1" x14ac:dyDescent="0.25">
      <c r="A238" s="112"/>
      <c r="B238" s="114"/>
      <c r="D238" s="88"/>
      <c r="E238" s="88"/>
      <c r="F238" s="88"/>
      <c r="G238" s="88"/>
      <c r="H238" s="89"/>
      <c r="I238" s="89"/>
      <c r="J238" s="89"/>
      <c r="K238" s="89"/>
      <c r="L238" s="89"/>
      <c r="M238" s="89"/>
      <c r="N238" s="89"/>
      <c r="O238" s="111"/>
      <c r="P238" s="111"/>
      <c r="Q238" s="87"/>
      <c r="S238" s="85"/>
    </row>
    <row r="239" spans="1:19" s="84" customFormat="1" x14ac:dyDescent="0.25">
      <c r="A239" s="112"/>
      <c r="B239" s="114"/>
      <c r="D239" s="88"/>
      <c r="E239" s="88"/>
      <c r="F239" s="88"/>
      <c r="G239" s="88"/>
      <c r="H239" s="89"/>
      <c r="I239" s="89"/>
      <c r="J239" s="89"/>
      <c r="K239" s="89"/>
      <c r="L239" s="89"/>
      <c r="M239" s="89"/>
      <c r="N239" s="89"/>
      <c r="O239" s="111"/>
      <c r="P239" s="111"/>
      <c r="Q239" s="87"/>
      <c r="S239" s="85"/>
    </row>
    <row r="240" spans="1:19" s="84" customFormat="1" x14ac:dyDescent="0.25">
      <c r="A240" s="112"/>
      <c r="B240" s="114"/>
      <c r="D240" s="88"/>
      <c r="E240" s="88"/>
      <c r="F240" s="88"/>
      <c r="G240" s="88"/>
      <c r="H240" s="89"/>
      <c r="I240" s="89"/>
      <c r="J240" s="89"/>
      <c r="K240" s="89"/>
      <c r="L240" s="89"/>
      <c r="M240" s="89"/>
      <c r="N240" s="89"/>
      <c r="O240" s="111"/>
      <c r="P240" s="111"/>
      <c r="Q240" s="87"/>
      <c r="S240" s="85"/>
    </row>
    <row r="241" spans="1:19" s="84" customFormat="1" x14ac:dyDescent="0.25">
      <c r="A241" s="112"/>
      <c r="B241" s="114"/>
      <c r="D241" s="88"/>
      <c r="E241" s="88"/>
      <c r="F241" s="88"/>
      <c r="G241" s="88"/>
      <c r="H241" s="89"/>
      <c r="I241" s="89"/>
      <c r="J241" s="89"/>
      <c r="K241" s="89"/>
      <c r="L241" s="89"/>
      <c r="M241" s="89"/>
      <c r="N241" s="89"/>
      <c r="O241" s="111"/>
      <c r="P241" s="111"/>
      <c r="Q241" s="87"/>
      <c r="S241" s="85"/>
    </row>
    <row r="242" spans="1:19" s="84" customFormat="1" x14ac:dyDescent="0.25">
      <c r="A242" s="112"/>
      <c r="B242" s="114"/>
      <c r="D242" s="88"/>
      <c r="E242" s="88"/>
      <c r="F242" s="88"/>
      <c r="G242" s="88"/>
      <c r="H242" s="89"/>
      <c r="I242" s="89"/>
      <c r="J242" s="89"/>
      <c r="K242" s="89"/>
      <c r="L242" s="89"/>
      <c r="M242" s="89"/>
      <c r="N242" s="89"/>
      <c r="O242" s="111"/>
      <c r="P242" s="111"/>
      <c r="Q242" s="87"/>
      <c r="S242" s="85"/>
    </row>
    <row r="243" spans="1:19" s="84" customFormat="1" x14ac:dyDescent="0.25">
      <c r="A243" s="112"/>
      <c r="B243" s="114"/>
      <c r="D243" s="88"/>
      <c r="E243" s="88"/>
      <c r="F243" s="88"/>
      <c r="G243" s="88"/>
      <c r="H243" s="89"/>
      <c r="I243" s="89"/>
      <c r="J243" s="89"/>
      <c r="K243" s="89"/>
      <c r="L243" s="89"/>
      <c r="M243" s="89"/>
      <c r="N243" s="89"/>
      <c r="O243" s="111"/>
      <c r="P243" s="111"/>
      <c r="Q243" s="87"/>
      <c r="S243" s="85"/>
    </row>
    <row r="244" spans="1:19" s="84" customFormat="1" x14ac:dyDescent="0.25">
      <c r="A244" s="112"/>
      <c r="B244" s="114"/>
      <c r="D244" s="88"/>
      <c r="E244" s="88"/>
      <c r="F244" s="88"/>
      <c r="G244" s="88"/>
      <c r="H244" s="89"/>
      <c r="I244" s="89"/>
      <c r="J244" s="89"/>
      <c r="K244" s="89"/>
      <c r="L244" s="89"/>
      <c r="M244" s="89"/>
      <c r="N244" s="89"/>
      <c r="O244" s="111"/>
      <c r="P244" s="111"/>
      <c r="Q244" s="87"/>
      <c r="S244" s="85"/>
    </row>
    <row r="245" spans="1:19" s="84" customFormat="1" x14ac:dyDescent="0.25">
      <c r="A245" s="112"/>
      <c r="B245" s="114"/>
      <c r="D245" s="88"/>
      <c r="E245" s="88"/>
      <c r="F245" s="88"/>
      <c r="G245" s="88"/>
      <c r="H245" s="89"/>
      <c r="I245" s="89"/>
      <c r="J245" s="89"/>
      <c r="K245" s="89"/>
      <c r="L245" s="89"/>
      <c r="M245" s="89"/>
      <c r="N245" s="89"/>
      <c r="O245" s="111"/>
      <c r="P245" s="111"/>
      <c r="Q245" s="87"/>
      <c r="S245" s="85"/>
    </row>
    <row r="246" spans="1:19" s="84" customFormat="1" x14ac:dyDescent="0.25">
      <c r="A246" s="112"/>
      <c r="B246" s="114"/>
      <c r="D246" s="88"/>
      <c r="E246" s="88"/>
      <c r="F246" s="88"/>
      <c r="G246" s="88"/>
      <c r="H246" s="89"/>
      <c r="I246" s="89"/>
      <c r="J246" s="89"/>
      <c r="K246" s="89"/>
      <c r="L246" s="89"/>
      <c r="M246" s="89"/>
      <c r="N246" s="89"/>
      <c r="O246" s="111"/>
      <c r="P246" s="111"/>
      <c r="Q246" s="87"/>
      <c r="S246" s="85"/>
    </row>
    <row r="247" spans="1:19" s="84" customFormat="1" x14ac:dyDescent="0.25">
      <c r="A247" s="112"/>
      <c r="B247" s="114"/>
      <c r="D247" s="88"/>
      <c r="E247" s="88"/>
      <c r="F247" s="88"/>
      <c r="G247" s="88"/>
      <c r="H247" s="89"/>
      <c r="I247" s="89"/>
      <c r="J247" s="89"/>
      <c r="K247" s="89"/>
      <c r="L247" s="89"/>
      <c r="M247" s="89"/>
      <c r="N247" s="89"/>
      <c r="O247" s="111"/>
      <c r="P247" s="111"/>
      <c r="Q247" s="87"/>
      <c r="S247" s="85"/>
    </row>
    <row r="248" spans="1:19" s="84" customFormat="1" x14ac:dyDescent="0.25">
      <c r="A248" s="112"/>
      <c r="B248" s="114"/>
      <c r="D248" s="88"/>
      <c r="E248" s="88"/>
      <c r="F248" s="88"/>
      <c r="G248" s="88"/>
      <c r="H248" s="89"/>
      <c r="I248" s="89"/>
      <c r="J248" s="89"/>
      <c r="K248" s="89"/>
      <c r="L248" s="89"/>
      <c r="M248" s="89"/>
      <c r="N248" s="89"/>
      <c r="O248" s="111"/>
      <c r="P248" s="111"/>
      <c r="Q248" s="87"/>
      <c r="S248" s="85"/>
    </row>
    <row r="249" spans="1:19" s="84" customFormat="1" x14ac:dyDescent="0.25">
      <c r="A249" s="112"/>
      <c r="B249" s="114"/>
      <c r="D249" s="88"/>
      <c r="E249" s="88"/>
      <c r="F249" s="88"/>
      <c r="G249" s="88"/>
      <c r="H249" s="89"/>
      <c r="I249" s="89"/>
      <c r="J249" s="89"/>
      <c r="K249" s="89"/>
      <c r="L249" s="89"/>
      <c r="M249" s="89"/>
      <c r="N249" s="89"/>
      <c r="O249" s="111"/>
      <c r="P249" s="111"/>
      <c r="Q249" s="87"/>
      <c r="S249" s="85"/>
    </row>
    <row r="250" spans="1:19" s="84" customFormat="1" x14ac:dyDescent="0.25">
      <c r="A250" s="112"/>
      <c r="B250" s="114"/>
      <c r="D250" s="88"/>
      <c r="E250" s="88"/>
      <c r="F250" s="88"/>
      <c r="G250" s="88"/>
      <c r="H250" s="89"/>
      <c r="I250" s="89"/>
      <c r="J250" s="89"/>
      <c r="K250" s="89"/>
      <c r="L250" s="89"/>
      <c r="M250" s="89"/>
      <c r="N250" s="89"/>
      <c r="O250" s="111"/>
      <c r="P250" s="111"/>
      <c r="Q250" s="87"/>
      <c r="S250" s="85"/>
    </row>
    <row r="251" spans="1:19" s="84" customFormat="1" x14ac:dyDescent="0.25">
      <c r="A251" s="112"/>
      <c r="B251" s="114"/>
      <c r="D251" s="88"/>
      <c r="E251" s="88"/>
      <c r="F251" s="88"/>
      <c r="G251" s="88"/>
      <c r="H251" s="89"/>
      <c r="I251" s="89"/>
      <c r="J251" s="89"/>
      <c r="K251" s="89"/>
      <c r="L251" s="89"/>
      <c r="M251" s="89"/>
      <c r="N251" s="89"/>
      <c r="O251" s="111"/>
      <c r="P251" s="111"/>
      <c r="Q251" s="87"/>
      <c r="S251" s="85"/>
    </row>
    <row r="252" spans="1:19" s="84" customFormat="1" x14ac:dyDescent="0.25">
      <c r="A252" s="112"/>
      <c r="B252" s="114"/>
      <c r="D252" s="88"/>
      <c r="E252" s="88"/>
      <c r="F252" s="88"/>
      <c r="G252" s="88"/>
      <c r="H252" s="89"/>
      <c r="I252" s="89"/>
      <c r="J252" s="89"/>
      <c r="K252" s="89"/>
      <c r="L252" s="89"/>
      <c r="M252" s="89"/>
      <c r="N252" s="89"/>
      <c r="O252" s="111"/>
      <c r="P252" s="111"/>
      <c r="Q252" s="87"/>
      <c r="S252" s="85"/>
    </row>
    <row r="253" spans="1:19" s="84" customFormat="1" x14ac:dyDescent="0.25">
      <c r="A253" s="112"/>
      <c r="B253" s="114"/>
      <c r="D253" s="88"/>
      <c r="E253" s="88"/>
      <c r="F253" s="88"/>
      <c r="G253" s="88"/>
      <c r="H253" s="89"/>
      <c r="I253" s="89"/>
      <c r="J253" s="89"/>
      <c r="K253" s="89"/>
      <c r="L253" s="89"/>
      <c r="M253" s="89"/>
      <c r="N253" s="89"/>
      <c r="O253" s="111"/>
      <c r="P253" s="111"/>
      <c r="Q253" s="87"/>
      <c r="S253" s="85"/>
    </row>
    <row r="254" spans="1:19" s="84" customFormat="1" x14ac:dyDescent="0.25">
      <c r="A254" s="112"/>
      <c r="B254" s="114"/>
      <c r="D254" s="88"/>
      <c r="E254" s="88"/>
      <c r="F254" s="88"/>
      <c r="G254" s="88"/>
      <c r="H254" s="89"/>
      <c r="I254" s="89"/>
      <c r="J254" s="89"/>
      <c r="K254" s="89"/>
      <c r="L254" s="89"/>
      <c r="M254" s="89"/>
      <c r="N254" s="89"/>
      <c r="O254" s="111"/>
      <c r="P254" s="111"/>
      <c r="Q254" s="87"/>
      <c r="S254" s="85"/>
    </row>
    <row r="255" spans="1:19" s="84" customFormat="1" x14ac:dyDescent="0.25">
      <c r="A255" s="112"/>
      <c r="B255" s="114"/>
      <c r="D255" s="88"/>
      <c r="E255" s="88"/>
      <c r="F255" s="88"/>
      <c r="G255" s="88"/>
      <c r="H255" s="89"/>
      <c r="I255" s="89"/>
      <c r="J255" s="89"/>
      <c r="K255" s="89"/>
      <c r="L255" s="89"/>
      <c r="M255" s="89"/>
      <c r="N255" s="89"/>
      <c r="O255" s="111"/>
      <c r="P255" s="111"/>
      <c r="Q255" s="87"/>
      <c r="S255" s="85"/>
    </row>
    <row r="256" spans="1:19" s="84" customFormat="1" x14ac:dyDescent="0.25">
      <c r="A256" s="112"/>
      <c r="B256" s="114"/>
      <c r="D256" s="88"/>
      <c r="E256" s="88"/>
      <c r="F256" s="88"/>
      <c r="G256" s="88"/>
      <c r="H256" s="89"/>
      <c r="I256" s="89"/>
      <c r="J256" s="89"/>
      <c r="K256" s="89"/>
      <c r="L256" s="89"/>
      <c r="M256" s="89"/>
      <c r="N256" s="89"/>
      <c r="O256" s="111"/>
      <c r="P256" s="111"/>
      <c r="Q256" s="87"/>
      <c r="S256" s="85"/>
    </row>
    <row r="257" spans="1:19" s="84" customFormat="1" x14ac:dyDescent="0.25">
      <c r="A257" s="112"/>
      <c r="B257" s="114"/>
      <c r="D257" s="88"/>
      <c r="E257" s="88"/>
      <c r="F257" s="88"/>
      <c r="G257" s="88"/>
      <c r="H257" s="89"/>
      <c r="I257" s="89"/>
      <c r="J257" s="89"/>
      <c r="K257" s="89"/>
      <c r="L257" s="89"/>
      <c r="M257" s="89"/>
      <c r="N257" s="89"/>
      <c r="O257" s="111"/>
      <c r="P257" s="111"/>
      <c r="Q257" s="87"/>
      <c r="S257" s="85"/>
    </row>
    <row r="258" spans="1:19" s="84" customFormat="1" x14ac:dyDescent="0.25">
      <c r="A258" s="112"/>
      <c r="B258" s="114"/>
      <c r="D258" s="88"/>
      <c r="E258" s="88"/>
      <c r="F258" s="88"/>
      <c r="G258" s="88"/>
      <c r="H258" s="89"/>
      <c r="I258" s="89"/>
      <c r="J258" s="89"/>
      <c r="K258" s="89"/>
      <c r="L258" s="89"/>
      <c r="M258" s="89"/>
      <c r="N258" s="89"/>
      <c r="O258" s="111"/>
      <c r="P258" s="111"/>
      <c r="Q258" s="87"/>
      <c r="S258" s="85"/>
    </row>
    <row r="259" spans="1:19" s="84" customFormat="1" x14ac:dyDescent="0.25">
      <c r="A259" s="112"/>
      <c r="B259" s="114"/>
      <c r="D259" s="88"/>
      <c r="E259" s="88"/>
      <c r="F259" s="88"/>
      <c r="G259" s="88"/>
      <c r="H259" s="89"/>
      <c r="I259" s="89"/>
      <c r="J259" s="89"/>
      <c r="K259" s="89"/>
      <c r="L259" s="89"/>
      <c r="M259" s="89"/>
      <c r="N259" s="89"/>
      <c r="O259" s="111"/>
      <c r="P259" s="111"/>
      <c r="Q259" s="87"/>
      <c r="S259" s="85"/>
    </row>
    <row r="260" spans="1:19" s="84" customFormat="1" x14ac:dyDescent="0.25">
      <c r="A260" s="112"/>
      <c r="B260" s="114"/>
      <c r="D260" s="88"/>
      <c r="E260" s="88"/>
      <c r="F260" s="88"/>
      <c r="G260" s="88"/>
      <c r="H260" s="89"/>
      <c r="I260" s="89"/>
      <c r="J260" s="89"/>
      <c r="K260" s="89"/>
      <c r="L260" s="89"/>
      <c r="M260" s="89"/>
      <c r="N260" s="89"/>
      <c r="O260" s="111"/>
      <c r="P260" s="111"/>
      <c r="Q260" s="87"/>
      <c r="S260" s="85"/>
    </row>
    <row r="261" spans="1:19" s="84" customFormat="1" x14ac:dyDescent="0.25">
      <c r="A261" s="112"/>
      <c r="B261" s="114"/>
      <c r="D261" s="88"/>
      <c r="E261" s="88"/>
      <c r="F261" s="88"/>
      <c r="G261" s="88"/>
      <c r="H261" s="89"/>
      <c r="I261" s="89"/>
      <c r="J261" s="89"/>
      <c r="K261" s="89"/>
      <c r="L261" s="89"/>
      <c r="M261" s="89"/>
      <c r="N261" s="89"/>
      <c r="O261" s="111"/>
      <c r="P261" s="111"/>
      <c r="Q261" s="87"/>
      <c r="S261" s="85"/>
    </row>
    <row r="262" spans="1:19" s="84" customFormat="1" x14ac:dyDescent="0.25">
      <c r="A262" s="112"/>
      <c r="B262" s="114"/>
      <c r="D262" s="88"/>
      <c r="E262" s="88"/>
      <c r="F262" s="88"/>
      <c r="G262" s="88"/>
      <c r="H262" s="89"/>
      <c r="I262" s="89"/>
      <c r="J262" s="89"/>
      <c r="K262" s="89"/>
      <c r="L262" s="89"/>
      <c r="M262" s="89"/>
      <c r="N262" s="89"/>
      <c r="O262" s="111"/>
      <c r="P262" s="111"/>
      <c r="Q262" s="87"/>
      <c r="S262" s="85"/>
    </row>
    <row r="263" spans="1:19" s="84" customFormat="1" x14ac:dyDescent="0.25">
      <c r="A263" s="112"/>
      <c r="B263" s="114"/>
      <c r="D263" s="88"/>
      <c r="E263" s="88"/>
      <c r="F263" s="88"/>
      <c r="G263" s="88"/>
      <c r="H263" s="89"/>
      <c r="I263" s="89"/>
      <c r="J263" s="89"/>
      <c r="K263" s="89"/>
      <c r="L263" s="89"/>
      <c r="M263" s="89"/>
      <c r="N263" s="89"/>
      <c r="O263" s="111"/>
      <c r="P263" s="111"/>
      <c r="Q263" s="87"/>
      <c r="S263" s="85"/>
    </row>
    <row r="264" spans="1:19" s="84" customFormat="1" x14ac:dyDescent="0.25">
      <c r="A264" s="112"/>
      <c r="B264" s="114"/>
      <c r="D264" s="88"/>
      <c r="E264" s="88"/>
      <c r="F264" s="88"/>
      <c r="G264" s="88"/>
      <c r="H264" s="89"/>
      <c r="I264" s="89"/>
      <c r="J264" s="89"/>
      <c r="K264" s="89"/>
      <c r="L264" s="89"/>
      <c r="M264" s="89"/>
      <c r="N264" s="89"/>
      <c r="O264" s="111"/>
      <c r="P264" s="111"/>
      <c r="Q264" s="87"/>
      <c r="S264" s="85"/>
    </row>
    <row r="265" spans="1:19" s="84" customFormat="1" x14ac:dyDescent="0.25">
      <c r="A265" s="112"/>
      <c r="B265" s="114"/>
      <c r="D265" s="88"/>
      <c r="E265" s="88"/>
      <c r="F265" s="88"/>
      <c r="G265" s="88"/>
      <c r="H265" s="89"/>
      <c r="I265" s="89"/>
      <c r="J265" s="89"/>
      <c r="K265" s="89"/>
      <c r="L265" s="89"/>
      <c r="M265" s="89"/>
      <c r="N265" s="89"/>
      <c r="O265" s="111"/>
      <c r="P265" s="111"/>
      <c r="Q265" s="87"/>
      <c r="S265" s="85"/>
    </row>
    <row r="266" spans="1:19" s="84" customFormat="1" x14ac:dyDescent="0.25">
      <c r="A266" s="112"/>
      <c r="B266" s="114"/>
      <c r="D266" s="88"/>
      <c r="E266" s="88"/>
      <c r="F266" s="88"/>
      <c r="G266" s="88"/>
      <c r="H266" s="89"/>
      <c r="I266" s="89"/>
      <c r="J266" s="89"/>
      <c r="K266" s="89"/>
      <c r="L266" s="89"/>
      <c r="M266" s="89"/>
      <c r="N266" s="89"/>
      <c r="O266" s="111"/>
      <c r="P266" s="111"/>
      <c r="Q266" s="87"/>
      <c r="S266" s="85"/>
    </row>
    <row r="267" spans="1:19" s="84" customFormat="1" x14ac:dyDescent="0.25">
      <c r="A267" s="112"/>
      <c r="B267" s="114"/>
      <c r="D267" s="88"/>
      <c r="E267" s="88"/>
      <c r="F267" s="88"/>
      <c r="G267" s="88"/>
      <c r="H267" s="89"/>
      <c r="I267" s="89"/>
      <c r="J267" s="89"/>
      <c r="K267" s="89"/>
      <c r="L267" s="89"/>
      <c r="M267" s="89"/>
      <c r="N267" s="89"/>
      <c r="O267" s="111"/>
      <c r="P267" s="111"/>
      <c r="Q267" s="87"/>
      <c r="S267" s="85"/>
    </row>
    <row r="268" spans="1:19" s="84" customFormat="1" x14ac:dyDescent="0.25">
      <c r="A268" s="112"/>
      <c r="B268" s="114"/>
      <c r="D268" s="88"/>
      <c r="E268" s="88"/>
      <c r="F268" s="88"/>
      <c r="G268" s="88"/>
      <c r="H268" s="89"/>
      <c r="I268" s="89"/>
      <c r="J268" s="89"/>
      <c r="K268" s="89"/>
      <c r="L268" s="89"/>
      <c r="M268" s="89"/>
      <c r="N268" s="89"/>
      <c r="O268" s="111"/>
      <c r="P268" s="111"/>
      <c r="Q268" s="87"/>
      <c r="S268" s="85"/>
    </row>
    <row r="269" spans="1:19" s="84" customFormat="1" x14ac:dyDescent="0.25">
      <c r="A269" s="112"/>
      <c r="B269" s="114"/>
      <c r="D269" s="88"/>
      <c r="E269" s="88"/>
      <c r="F269" s="88"/>
      <c r="G269" s="88"/>
      <c r="H269" s="89"/>
      <c r="I269" s="89"/>
      <c r="J269" s="89"/>
      <c r="K269" s="89"/>
      <c r="L269" s="89"/>
      <c r="M269" s="89"/>
      <c r="N269" s="89"/>
      <c r="O269" s="111"/>
      <c r="P269" s="111"/>
      <c r="Q269" s="87"/>
      <c r="S269" s="85"/>
    </row>
    <row r="270" spans="1:19" s="84" customFormat="1" x14ac:dyDescent="0.25">
      <c r="A270" s="112"/>
      <c r="B270" s="114"/>
      <c r="D270" s="88"/>
      <c r="E270" s="88"/>
      <c r="F270" s="88"/>
      <c r="G270" s="88"/>
      <c r="H270" s="89"/>
      <c r="I270" s="89"/>
      <c r="J270" s="89"/>
      <c r="K270" s="89"/>
      <c r="L270" s="89"/>
      <c r="M270" s="89"/>
      <c r="N270" s="89"/>
      <c r="O270" s="111"/>
      <c r="P270" s="111"/>
      <c r="Q270" s="87"/>
      <c r="S270" s="85"/>
    </row>
    <row r="271" spans="1:19" s="84" customFormat="1" x14ac:dyDescent="0.25">
      <c r="A271" s="112"/>
      <c r="B271" s="114"/>
      <c r="D271" s="88"/>
      <c r="E271" s="88"/>
      <c r="F271" s="88"/>
      <c r="G271" s="88"/>
      <c r="H271" s="89"/>
      <c r="I271" s="89"/>
      <c r="J271" s="89"/>
      <c r="K271" s="89"/>
      <c r="L271" s="89"/>
      <c r="M271" s="89"/>
      <c r="N271" s="89"/>
      <c r="O271" s="111"/>
      <c r="P271" s="111"/>
      <c r="Q271" s="87"/>
      <c r="S271" s="85"/>
    </row>
    <row r="272" spans="1:19" s="84" customFormat="1" x14ac:dyDescent="0.25">
      <c r="A272" s="112"/>
      <c r="B272" s="114"/>
      <c r="D272" s="88"/>
      <c r="E272" s="88"/>
      <c r="F272" s="88"/>
      <c r="G272" s="88"/>
      <c r="H272" s="89"/>
      <c r="I272" s="89"/>
      <c r="J272" s="89"/>
      <c r="K272" s="89"/>
      <c r="L272" s="89"/>
      <c r="M272" s="89"/>
      <c r="N272" s="89"/>
      <c r="O272" s="111"/>
      <c r="P272" s="111"/>
      <c r="Q272" s="87"/>
      <c r="S272" s="85"/>
    </row>
    <row r="273" spans="1:19" s="84" customFormat="1" x14ac:dyDescent="0.25">
      <c r="A273" s="112"/>
      <c r="B273" s="114"/>
      <c r="D273" s="88"/>
      <c r="E273" s="88"/>
      <c r="F273" s="88"/>
      <c r="G273" s="88"/>
      <c r="H273" s="89"/>
      <c r="I273" s="89"/>
      <c r="J273" s="89"/>
      <c r="K273" s="89"/>
      <c r="L273" s="89"/>
      <c r="M273" s="89"/>
      <c r="N273" s="89"/>
      <c r="O273" s="111"/>
      <c r="P273" s="111"/>
      <c r="Q273" s="87"/>
      <c r="S273" s="85"/>
    </row>
    <row r="274" spans="1:19" s="84" customFormat="1" x14ac:dyDescent="0.25">
      <c r="A274" s="112"/>
      <c r="B274" s="114"/>
      <c r="D274" s="88"/>
      <c r="E274" s="88"/>
      <c r="F274" s="88"/>
      <c r="G274" s="88"/>
      <c r="H274" s="89"/>
      <c r="I274" s="89"/>
      <c r="J274" s="89"/>
      <c r="K274" s="89"/>
      <c r="L274" s="89"/>
      <c r="M274" s="89"/>
      <c r="N274" s="89"/>
      <c r="O274" s="111"/>
      <c r="P274" s="111"/>
      <c r="Q274" s="87"/>
      <c r="S274" s="85"/>
    </row>
    <row r="275" spans="1:19" s="84" customFormat="1" x14ac:dyDescent="0.25">
      <c r="A275" s="112"/>
      <c r="B275" s="114"/>
      <c r="D275" s="88"/>
      <c r="E275" s="88"/>
      <c r="F275" s="88"/>
      <c r="G275" s="88"/>
      <c r="H275" s="89"/>
      <c r="I275" s="89"/>
      <c r="J275" s="89"/>
      <c r="K275" s="89"/>
      <c r="L275" s="89"/>
      <c r="M275" s="89"/>
      <c r="N275" s="89"/>
      <c r="O275" s="111"/>
      <c r="P275" s="111"/>
      <c r="Q275" s="87"/>
      <c r="S275" s="85"/>
    </row>
    <row r="276" spans="1:19" s="84" customFormat="1" x14ac:dyDescent="0.25">
      <c r="A276" s="112"/>
      <c r="B276" s="114"/>
      <c r="D276" s="88"/>
      <c r="E276" s="88"/>
      <c r="F276" s="88"/>
      <c r="G276" s="88"/>
      <c r="H276" s="89"/>
      <c r="I276" s="89"/>
      <c r="J276" s="89"/>
      <c r="K276" s="89"/>
      <c r="L276" s="89"/>
      <c r="M276" s="89"/>
      <c r="N276" s="89"/>
      <c r="O276" s="111"/>
      <c r="P276" s="111"/>
      <c r="Q276" s="87"/>
      <c r="S276" s="85"/>
    </row>
    <row r="277" spans="1:19" s="84" customFormat="1" x14ac:dyDescent="0.25">
      <c r="A277" s="112"/>
      <c r="B277" s="114"/>
      <c r="D277" s="88"/>
      <c r="E277" s="88"/>
      <c r="F277" s="88"/>
      <c r="G277" s="88"/>
      <c r="H277" s="89"/>
      <c r="I277" s="89"/>
      <c r="J277" s="89"/>
      <c r="K277" s="89"/>
      <c r="L277" s="89"/>
      <c r="M277" s="89"/>
      <c r="N277" s="89"/>
      <c r="O277" s="111"/>
      <c r="P277" s="111"/>
      <c r="Q277" s="87"/>
      <c r="S277" s="85"/>
    </row>
    <row r="278" spans="1:19" s="84" customFormat="1" x14ac:dyDescent="0.25">
      <c r="A278" s="112"/>
      <c r="B278" s="114"/>
      <c r="D278" s="88"/>
      <c r="E278" s="88"/>
      <c r="F278" s="88"/>
      <c r="G278" s="88"/>
      <c r="H278" s="89"/>
      <c r="I278" s="89"/>
      <c r="J278" s="89"/>
      <c r="K278" s="89"/>
      <c r="L278" s="89"/>
      <c r="M278" s="89"/>
      <c r="N278" s="89"/>
      <c r="O278" s="111"/>
      <c r="P278" s="111"/>
      <c r="Q278" s="87"/>
      <c r="S278" s="85"/>
    </row>
  </sheetData>
  <sheetProtection password="FB6B" sheet="1" formatCells="0" formatColumns="0" formatRows="0"/>
  <mergeCells count="135">
    <mergeCell ref="J4:M4"/>
    <mergeCell ref="B14:E14"/>
    <mergeCell ref="B17:E17"/>
    <mergeCell ref="B7:E7"/>
    <mergeCell ref="B8:E8"/>
    <mergeCell ref="B9:E9"/>
    <mergeCell ref="B11:E11"/>
    <mergeCell ref="B10:E10"/>
    <mergeCell ref="B12:E12"/>
    <mergeCell ref="B13:E13"/>
    <mergeCell ref="B16:E16"/>
    <mergeCell ref="B78:C78"/>
    <mergeCell ref="B79:C79"/>
    <mergeCell ref="B80:C80"/>
    <mergeCell ref="B75:C75"/>
    <mergeCell ref="B84:C84"/>
    <mergeCell ref="B56:C56"/>
    <mergeCell ref="B52:C52"/>
    <mergeCell ref="B73:C73"/>
    <mergeCell ref="B74:C74"/>
    <mergeCell ref="B99:D99"/>
    <mergeCell ref="B82:C82"/>
    <mergeCell ref="B83:C83"/>
    <mergeCell ref="B86:C86"/>
    <mergeCell ref="B88:C88"/>
    <mergeCell ref="B97:D97"/>
    <mergeCell ref="B96:D96"/>
    <mergeCell ref="B98:D98"/>
    <mergeCell ref="B89:C89"/>
    <mergeCell ref="B90:C90"/>
    <mergeCell ref="A124:S128"/>
    <mergeCell ref="A104:S108"/>
    <mergeCell ref="A109:S113"/>
    <mergeCell ref="B103:D103"/>
    <mergeCell ref="B100:D100"/>
    <mergeCell ref="B102:D102"/>
    <mergeCell ref="B101:D101"/>
    <mergeCell ref="A119:S123"/>
    <mergeCell ref="A114:S118"/>
    <mergeCell ref="B91:C91"/>
    <mergeCell ref="B63:C63"/>
    <mergeCell ref="B64:C64"/>
    <mergeCell ref="B65:C65"/>
    <mergeCell ref="B67:C67"/>
    <mergeCell ref="B92:C92"/>
    <mergeCell ref="A94:D94"/>
    <mergeCell ref="B95:D95"/>
    <mergeCell ref="B85:C85"/>
    <mergeCell ref="B77:C77"/>
    <mergeCell ref="B61:C61"/>
    <mergeCell ref="B72:C72"/>
    <mergeCell ref="B66:C66"/>
    <mergeCell ref="B76:C76"/>
    <mergeCell ref="B87:C87"/>
    <mergeCell ref="B81:C81"/>
    <mergeCell ref="B59:C59"/>
    <mergeCell ref="B60:C60"/>
    <mergeCell ref="B62:C62"/>
    <mergeCell ref="B69:C69"/>
    <mergeCell ref="B70:C70"/>
    <mergeCell ref="B71:C71"/>
    <mergeCell ref="B68:C68"/>
    <mergeCell ref="B50:C50"/>
    <mergeCell ref="B47:C47"/>
    <mergeCell ref="B48:C48"/>
    <mergeCell ref="B58:C58"/>
    <mergeCell ref="B57:C57"/>
    <mergeCell ref="B54:C54"/>
    <mergeCell ref="B55:C55"/>
    <mergeCell ref="B49:C49"/>
    <mergeCell ref="B51:C51"/>
    <mergeCell ref="B53:C53"/>
    <mergeCell ref="B43:C43"/>
    <mergeCell ref="B45:C45"/>
    <mergeCell ref="B40:C40"/>
    <mergeCell ref="B46:C46"/>
    <mergeCell ref="B34:C35"/>
    <mergeCell ref="B37:C37"/>
    <mergeCell ref="B38:C38"/>
    <mergeCell ref="B36:C36"/>
    <mergeCell ref="B44:C44"/>
    <mergeCell ref="H34:I34"/>
    <mergeCell ref="B39:C39"/>
    <mergeCell ref="D34:E34"/>
    <mergeCell ref="B27:E27"/>
    <mergeCell ref="B32:E32"/>
    <mergeCell ref="B28:E28"/>
    <mergeCell ref="B1:C1"/>
    <mergeCell ref="B5:E5"/>
    <mergeCell ref="B6:E6"/>
    <mergeCell ref="B41:C41"/>
    <mergeCell ref="B42:C42"/>
    <mergeCell ref="G1:H1"/>
    <mergeCell ref="D1:F1"/>
    <mergeCell ref="A3:I3"/>
    <mergeCell ref="B21:E21"/>
    <mergeCell ref="B31:E31"/>
    <mergeCell ref="B15:E15"/>
    <mergeCell ref="L34:M34"/>
    <mergeCell ref="B30:E30"/>
    <mergeCell ref="J34:K34"/>
    <mergeCell ref="A26:C26"/>
    <mergeCell ref="B25:E25"/>
    <mergeCell ref="B18:E18"/>
    <mergeCell ref="F34:G34"/>
    <mergeCell ref="B24:E24"/>
    <mergeCell ref="B23:E23"/>
    <mergeCell ref="K10:K13"/>
    <mergeCell ref="L5:L7"/>
    <mergeCell ref="N34:O34"/>
    <mergeCell ref="O26:S26"/>
    <mergeCell ref="P34:Q34"/>
    <mergeCell ref="N24:O24"/>
    <mergeCell ref="N25:O25"/>
    <mergeCell ref="J9:Q9"/>
    <mergeCell ref="A34:A35"/>
    <mergeCell ref="B29:E29"/>
    <mergeCell ref="M5:M7"/>
    <mergeCell ref="Y41:Z41"/>
    <mergeCell ref="S40:AD40"/>
    <mergeCell ref="S41:T41"/>
    <mergeCell ref="U41:V41"/>
    <mergeCell ref="W41:X41"/>
    <mergeCell ref="AA41:AB41"/>
    <mergeCell ref="AC41:AD41"/>
    <mergeCell ref="B19:E19"/>
    <mergeCell ref="R11:S11"/>
    <mergeCell ref="A4:C4"/>
    <mergeCell ref="K20:Q20"/>
    <mergeCell ref="B22:E22"/>
    <mergeCell ref="B20:E20"/>
    <mergeCell ref="R5:U5"/>
    <mergeCell ref="J5:J7"/>
    <mergeCell ref="K5:K7"/>
    <mergeCell ref="J10:J13"/>
  </mergeCells>
  <conditionalFormatting sqref="F22:I22 I23:I25 F23:G25 I16:I21 D58:Q58 D45:E56 D59:E59 H59:M59 P59 F16:G21 H53:M57 P53:P57 D57:G57 F26:I32 F7:I15">
    <cfRule type="cellIs" dxfId="288" priority="129" operator="lessThan">
      <formula>0</formula>
    </cfRule>
  </conditionalFormatting>
  <conditionalFormatting sqref="D60:E65 D37:Q38 D44:E44 D66:Q66 D39:E41 D71:Q71 D72:E83 D93:Q93 D92 F92:Q92 H60:J63 D84:J85 R60:R65 L87:M87 H72:M72 H75:J83 D86:E87 D88:Q88 P72 D91:Q91 D89:E90 H87:J87 H86:M86 D67:J70 L67:Q70 H64:Q65 L60:Q63 P86:P87 K75:Q85 H73:Q74 H89:Q90 Q87 D42:Q43">
    <cfRule type="cellIs" dxfId="287" priority="128" operator="lessThan">
      <formula>0</formula>
    </cfRule>
  </conditionalFormatting>
  <conditionalFormatting sqref="J14">
    <cfRule type="containsText" dxfId="286" priority="116" stopIfTrue="1" operator="containsText" text="ПОМИЛКА">
      <formula>NOT(ISERROR(SEARCH("ПОМИЛКА",J14)))</formula>
    </cfRule>
    <cfRule type="containsText" dxfId="285" priority="117" stopIfTrue="1" operator="containsText" text="Увага">
      <formula>NOT(ISERROR(SEARCH("Увага",J14)))</formula>
    </cfRule>
    <cfRule type="containsText" dxfId="284" priority="118" stopIfTrue="1" operator="containsText" text="ПРАВДА">
      <formula>NOT(ISERROR(SEARCH("ПРАВДА",J14)))</formula>
    </cfRule>
  </conditionalFormatting>
  <conditionalFormatting sqref="K14">
    <cfRule type="containsText" dxfId="283" priority="113" stopIfTrue="1" operator="containsText" text="ПОМИЛКА">
      <formula>NOT(ISERROR(SEARCH("ПОМИЛКА",K14)))</formula>
    </cfRule>
    <cfRule type="containsText" dxfId="282" priority="114" stopIfTrue="1" operator="containsText" text="Увага">
      <formula>NOT(ISERROR(SEARCH("Увага",K14)))</formula>
    </cfRule>
    <cfRule type="containsText" dxfId="281" priority="115" stopIfTrue="1" operator="containsText" text="ПРАВДА">
      <formula>NOT(ISERROR(SEARCH("ПРАВДА",K14)))</formula>
    </cfRule>
  </conditionalFormatting>
  <conditionalFormatting sqref="J8">
    <cfRule type="containsText" dxfId="280" priority="110" stopIfTrue="1" operator="containsText" text="ПОМИЛКА">
      <formula>NOT(ISERROR(SEARCH("ПОМИЛКА",J8)))</formula>
    </cfRule>
    <cfRule type="containsText" dxfId="279" priority="111" stopIfTrue="1" operator="containsText" text="Увага">
      <formula>NOT(ISERROR(SEARCH("Увага",J8)))</formula>
    </cfRule>
    <cfRule type="containsText" dxfId="278" priority="112" stopIfTrue="1" operator="containsText" text="ПРАВДА">
      <formula>NOT(ISERROR(SEARCH("ПРАВДА",J8)))</formula>
    </cfRule>
  </conditionalFormatting>
  <conditionalFormatting sqref="K8">
    <cfRule type="containsText" dxfId="277" priority="107" stopIfTrue="1" operator="containsText" text="ПОМИЛКА">
      <formula>NOT(ISERROR(SEARCH("ПОМИЛКА",K8)))</formula>
    </cfRule>
    <cfRule type="containsText" dxfId="276" priority="108" stopIfTrue="1" operator="containsText" text="Увага">
      <formula>NOT(ISERROR(SEARCH("Увага",K8)))</formula>
    </cfRule>
    <cfRule type="containsText" dxfId="275" priority="109" stopIfTrue="1" operator="containsText" text="ПРАВДА">
      <formula>NOT(ISERROR(SEARCH("ПРАВДА",K8)))</formula>
    </cfRule>
  </conditionalFormatting>
  <conditionalFormatting sqref="L8">
    <cfRule type="containsText" dxfId="274" priority="104" stopIfTrue="1" operator="containsText" text="ПОМИЛКА">
      <formula>NOT(ISERROR(SEARCH("ПОМИЛКА",L8)))</formula>
    </cfRule>
    <cfRule type="containsText" dxfId="273" priority="105" stopIfTrue="1" operator="containsText" text="Увага">
      <formula>NOT(ISERROR(SEARCH("Увага",L8)))</formula>
    </cfRule>
    <cfRule type="containsText" dxfId="272" priority="106" stopIfTrue="1" operator="containsText" text="ПРАВДА">
      <formula>NOT(ISERROR(SEARCH("ПРАВДА",L8)))</formula>
    </cfRule>
  </conditionalFormatting>
  <conditionalFormatting sqref="M8">
    <cfRule type="containsText" dxfId="271" priority="101" stopIfTrue="1" operator="containsText" text="ПОМИЛКА">
      <formula>NOT(ISERROR(SEARCH("ПОМИЛКА",M8)))</formula>
    </cfRule>
    <cfRule type="containsText" dxfId="270" priority="102" stopIfTrue="1" operator="containsText" text="Увага">
      <formula>NOT(ISERROR(SEARCH("Увага",M8)))</formula>
    </cfRule>
    <cfRule type="containsText" dxfId="269" priority="103" stopIfTrue="1" operator="containsText" text="ПРАВДА">
      <formula>NOT(ISERROR(SEARCH("ПРАВДА",M8)))</formula>
    </cfRule>
  </conditionalFormatting>
  <conditionalFormatting sqref="F53:G56">
    <cfRule type="cellIs" dxfId="268" priority="95" operator="lessThan">
      <formula>0</formula>
    </cfRule>
  </conditionalFormatting>
  <conditionalFormatting sqref="F59:G65">
    <cfRule type="cellIs" dxfId="267" priority="94" operator="lessThan">
      <formula>0</formula>
    </cfRule>
  </conditionalFormatting>
  <conditionalFormatting sqref="E92">
    <cfRule type="cellIs" dxfId="266" priority="89" operator="lessThan">
      <formula>0</formula>
    </cfRule>
  </conditionalFormatting>
  <conditionalFormatting sqref="K60:K63">
    <cfRule type="cellIs" dxfId="265" priority="88" operator="lessThan">
      <formula>0</formula>
    </cfRule>
  </conditionalFormatting>
  <conditionalFormatting sqref="K67:K70">
    <cfRule type="cellIs" dxfId="264" priority="87" operator="lessThan">
      <formula>0</formula>
    </cfRule>
  </conditionalFormatting>
  <conditionalFormatting sqref="K87">
    <cfRule type="cellIs" dxfId="263" priority="86" operator="lessThan">
      <formula>0</formula>
    </cfRule>
  </conditionalFormatting>
  <conditionalFormatting sqref="Q53:Q57">
    <cfRule type="cellIs" dxfId="262" priority="81" operator="lessThan">
      <formula>0</formula>
    </cfRule>
  </conditionalFormatting>
  <conditionalFormatting sqref="Q59">
    <cfRule type="cellIs" dxfId="261" priority="80" operator="lessThan">
      <formula>0</formula>
    </cfRule>
  </conditionalFormatting>
  <conditionalFormatting sqref="Q72 Q86">
    <cfRule type="cellIs" dxfId="260" priority="78" operator="lessThan">
      <formula>0</formula>
    </cfRule>
  </conditionalFormatting>
  <conditionalFormatting sqref="F41:Q41 F39:F40 H39:J40 L39:Q40">
    <cfRule type="cellIs" dxfId="259" priority="72" operator="lessThan">
      <formula>0</formula>
    </cfRule>
  </conditionalFormatting>
  <conditionalFormatting sqref="J44:M49 P44:Q52 F50:M52">
    <cfRule type="cellIs" dxfId="258" priority="71" operator="lessThan">
      <formula>0</formula>
    </cfRule>
  </conditionalFormatting>
  <conditionalFormatting sqref="F44:I49">
    <cfRule type="cellIs" dxfId="257" priority="70" operator="lessThan">
      <formula>0</formula>
    </cfRule>
  </conditionalFormatting>
  <conditionalFormatting sqref="H16:H21">
    <cfRule type="cellIs" dxfId="256" priority="65" operator="lessThan">
      <formula>0</formula>
    </cfRule>
  </conditionalFormatting>
  <conditionalFormatting sqref="N44:O55">
    <cfRule type="cellIs" dxfId="255" priority="58" operator="lessThan">
      <formula>0</formula>
    </cfRule>
  </conditionalFormatting>
  <conditionalFormatting sqref="N56:O57">
    <cfRule type="cellIs" dxfId="254" priority="55" operator="lessThan">
      <formula>0</formula>
    </cfRule>
  </conditionalFormatting>
  <conditionalFormatting sqref="N59:O59">
    <cfRule type="cellIs" dxfId="253" priority="54" operator="lessThan">
      <formula>0</formula>
    </cfRule>
  </conditionalFormatting>
  <conditionalFormatting sqref="N86:O86 O87">
    <cfRule type="cellIs" dxfId="252" priority="52" operator="lessThan">
      <formula>0</formula>
    </cfRule>
  </conditionalFormatting>
  <conditionalFormatting sqref="N72:O72">
    <cfRule type="cellIs" dxfId="251" priority="50" operator="lessThan">
      <formula>0</formula>
    </cfRule>
  </conditionalFormatting>
  <conditionalFormatting sqref="N87">
    <cfRule type="cellIs" dxfId="250" priority="48" operator="lessThan">
      <formula>0</formula>
    </cfRule>
  </conditionalFormatting>
  <conditionalFormatting sqref="F89:G90">
    <cfRule type="cellIs" dxfId="249" priority="44" operator="lessThan">
      <formula>0</formula>
    </cfRule>
  </conditionalFormatting>
  <conditionalFormatting sqref="F86:G86">
    <cfRule type="cellIs" dxfId="248" priority="42" operator="lessThan">
      <formula>0</formula>
    </cfRule>
  </conditionalFormatting>
  <conditionalFormatting sqref="F87:G87">
    <cfRule type="cellIs" dxfId="247" priority="41" operator="lessThan">
      <formula>0</formula>
    </cfRule>
  </conditionalFormatting>
  <conditionalFormatting sqref="F72:G82">
    <cfRule type="cellIs" dxfId="246" priority="40" operator="lessThan">
      <formula>0</formula>
    </cfRule>
  </conditionalFormatting>
  <conditionalFormatting sqref="F83:G83">
    <cfRule type="cellIs" dxfId="245" priority="39" operator="lessThan">
      <formula>0</formula>
    </cfRule>
  </conditionalFormatting>
  <conditionalFormatting sqref="H23:H25">
    <cfRule type="cellIs" dxfId="244" priority="29" operator="lessThan">
      <formula>0</formula>
    </cfRule>
  </conditionalFormatting>
  <conditionalFormatting sqref="E97:H103">
    <cfRule type="cellIs" dxfId="243" priority="25" operator="lessThan">
      <formula>0</formula>
    </cfRule>
  </conditionalFormatting>
  <conditionalFormatting sqref="Q25">
    <cfRule type="containsText" dxfId="242" priority="21" stopIfTrue="1" operator="containsText" text="ПОМИЛКА">
      <formula>NOT(ISERROR(SEARCH("ПОМИЛКА",Q25)))</formula>
    </cfRule>
    <cfRule type="containsText" dxfId="241" priority="22" stopIfTrue="1" operator="containsText" text="Увага">
      <formula>NOT(ISERROR(SEARCH("Увага",Q25)))</formula>
    </cfRule>
    <cfRule type="containsText" dxfId="240" priority="23" stopIfTrue="1" operator="containsText" text="ПРАВДА">
      <formula>NOT(ISERROR(SEARCH("ПРАВДА",Q25)))</formula>
    </cfRule>
  </conditionalFormatting>
  <conditionalFormatting sqref="N18">
    <cfRule type="containsText" dxfId="239" priority="3" stopIfTrue="1" operator="containsText" text="ПОМИЛКА">
      <formula>NOT(ISERROR(SEARCH("ПОМИЛКА",N18)))</formula>
    </cfRule>
    <cfRule type="containsText" dxfId="238" priority="4" stopIfTrue="1" operator="containsText" text="Увага">
      <formula>NOT(ISERROR(SEARCH("Увага",N18)))</formula>
    </cfRule>
    <cfRule type="containsText" dxfId="237" priority="5" stopIfTrue="1" operator="containsText" text="ПРАВДА">
      <formula>NOT(ISERROR(SEARCH("ПРАВДА",N18)))</formula>
    </cfRule>
  </conditionalFormatting>
  <conditionalFormatting sqref="S18">
    <cfRule type="containsText" dxfId="236" priority="9" stopIfTrue="1" operator="containsText" text="ПОМИЛКА">
      <formula>NOT(ISERROR(SEARCH("ПОМИЛКА",S18)))</formula>
    </cfRule>
    <cfRule type="containsText" dxfId="235" priority="10" stopIfTrue="1" operator="containsText" text="Увага">
      <formula>NOT(ISERROR(SEARCH("Увага",S18)))</formula>
    </cfRule>
    <cfRule type="containsText" dxfId="234" priority="11" stopIfTrue="1" operator="containsText" text="ПРАВДА">
      <formula>NOT(ISERROR(SEARCH("ПРАВДА",S18)))</formula>
    </cfRule>
  </conditionalFormatting>
  <conditionalFormatting sqref="R18">
    <cfRule type="containsText" dxfId="233" priority="6" stopIfTrue="1" operator="containsText" text="ПОМИЛКА">
      <formula>NOT(ISERROR(SEARCH("ПОМИЛКА",R18)))</formula>
    </cfRule>
    <cfRule type="containsText" dxfId="232" priority="7" stopIfTrue="1" operator="containsText" text="Увага">
      <formula>NOT(ISERROR(SEARCH("Увага",R18)))</formula>
    </cfRule>
    <cfRule type="containsText" dxfId="231" priority="8" stopIfTrue="1" operator="containsText" text="ПРАВДА">
      <formula>NOT(ISERROR(SEARCH("ПРАВДА",R18)))</formula>
    </cfRule>
  </conditionalFormatting>
  <conditionalFormatting sqref="G39:G40">
    <cfRule type="cellIs" dxfId="230" priority="2" operator="lessThan">
      <formula>0</formula>
    </cfRule>
  </conditionalFormatting>
  <conditionalFormatting sqref="K39:K40">
    <cfRule type="cellIs" dxfId="229" priority="1" operator="lessThan">
      <formula>0</formula>
    </cfRule>
  </conditionalFormatting>
  <dataValidations count="3">
    <dataValidation type="decimal" showInputMessage="1" showErrorMessage="1" sqref="H15 F29 F7:F8 H29 H7:H8 H12 F12 F15">
      <formula1>-1000000000000</formula1>
      <formula2>1000000000000</formula2>
    </dataValidation>
    <dataValidation type="decimal" operator="greaterThanOrEqual" showInputMessage="1" showErrorMessage="1" error="Будь ласка, вкажіть додатнє число." sqref="F9:F11 H9:H11 F16:F25 H16:H25 F30:F32 H30:H32 S42:AD42 D92:E92 F39:Q91">
      <formula1>0</formula1>
    </dataValidation>
    <dataValidation type="decimal" operator="lessThanOrEqual" showInputMessage="1" showErrorMessage="1" error="Будь ласка, вкажіть від'ємне число." sqref="F13:F14 H13:H14">
      <formula1>0</formula1>
    </dataValidation>
  </dataValidations>
  <pageMargins left="0" right="7.874015748031496E-2" top="0.19685039370078741" bottom="0" header="0.39370078740157483" footer="0"/>
  <pageSetup paperSize="9" scale="35" orientation="landscape" r:id="rId1"/>
  <headerFooter alignWithMargins="0">
    <oddFooter>&amp;RСтор.  &amp;P</oddFooter>
  </headerFooter>
  <rowBreaks count="2" manualBreakCount="2">
    <brk id="53" max="14" man="1"/>
    <brk id="103" max="14" man="1"/>
  </rowBreaks>
  <colBreaks count="1" manualBreakCount="1">
    <brk id="18"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tabColor rgb="FFFFFF00"/>
  </sheetPr>
  <dimension ref="A1:V152"/>
  <sheetViews>
    <sheetView showGridLines="0" view="pageBreakPreview" topLeftCell="A4" zoomScale="55" zoomScaleNormal="60" zoomScaleSheetLayoutView="55" zoomScalePageLayoutView="50" workbookViewId="0">
      <selection activeCell="J15" sqref="J15:J16"/>
    </sheetView>
  </sheetViews>
  <sheetFormatPr defaultColWidth="8.7109375" defaultRowHeight="18.75" x14ac:dyDescent="0.25"/>
  <cols>
    <col min="1" max="1" width="8.42578125" style="23" customWidth="1"/>
    <col min="2" max="2" width="7.7109375" style="21" customWidth="1"/>
    <col min="3" max="3" width="17.5703125" style="1" customWidth="1"/>
    <col min="4" max="4" width="53.42578125" style="2" customWidth="1"/>
    <col min="5" max="5" width="19.7109375" style="64" customWidth="1"/>
    <col min="6" max="6" width="20.140625" style="64" customWidth="1"/>
    <col min="7" max="7" width="20.7109375" style="64" customWidth="1"/>
    <col min="8" max="8" width="23.140625" style="4" customWidth="1"/>
    <col min="9" max="9" width="21.5703125" style="4" customWidth="1"/>
    <col min="10" max="10" width="25.85546875" style="4" customWidth="1"/>
    <col min="11" max="11" width="26.140625" style="4" customWidth="1"/>
    <col min="12" max="12" width="28.85546875" style="14" customWidth="1"/>
    <col min="13" max="13" width="23.85546875" style="12" customWidth="1"/>
    <col min="14" max="14" width="26.28515625" style="2" customWidth="1"/>
    <col min="15" max="15" width="29.42578125" style="52" customWidth="1"/>
    <col min="16" max="16" width="23" style="52" customWidth="1"/>
    <col min="17" max="17" width="0.28515625" style="52" customWidth="1"/>
    <col min="18" max="19" width="23.5703125" style="2" customWidth="1"/>
    <col min="20" max="20" width="0.140625" style="2" customWidth="1"/>
    <col min="21" max="22" width="23.5703125" style="2" customWidth="1"/>
    <col min="23" max="245" width="8.7109375" style="2"/>
    <col min="246" max="246" width="78.5703125" style="2" customWidth="1"/>
    <col min="247" max="249" width="19.42578125" style="2" customWidth="1"/>
    <col min="250" max="16384" width="8.7109375" style="2"/>
  </cols>
  <sheetData>
    <row r="1" spans="1:22" ht="45" customHeight="1" x14ac:dyDescent="0.25">
      <c r="A1" s="2427" t="s">
        <v>1491</v>
      </c>
      <c r="B1" s="2427"/>
      <c r="C1" s="2427"/>
      <c r="D1" s="2427"/>
      <c r="E1" s="2427"/>
      <c r="F1" s="2427"/>
      <c r="G1" s="2427"/>
      <c r="H1" s="2427"/>
      <c r="I1" s="2427"/>
      <c r="J1" s="2427"/>
      <c r="K1" s="2427"/>
      <c r="L1" s="2427"/>
      <c r="M1" s="2427"/>
      <c r="N1" s="2427"/>
      <c r="O1" s="2427"/>
      <c r="P1" s="2427"/>
    </row>
    <row r="2" spans="1:22" ht="21.6" customHeight="1" x14ac:dyDescent="0.25">
      <c r="A2" s="2449" t="s">
        <v>0</v>
      </c>
      <c r="B2" s="2449"/>
      <c r="C2" s="2449"/>
      <c r="D2" s="70">
        <f>'Звіт 1,2,3'!D1:H1</f>
        <v>2006707</v>
      </c>
      <c r="E2" s="65" t="s">
        <v>1</v>
      </c>
      <c r="F2" s="68">
        <f>'Звіт 1,2,3'!H1</f>
        <v>430</v>
      </c>
      <c r="G2" s="2"/>
      <c r="H2" s="2"/>
      <c r="I2" s="2"/>
      <c r="J2" s="71"/>
      <c r="K2" s="71"/>
      <c r="L2" s="71"/>
      <c r="O2" s="73"/>
      <c r="P2" s="2283" t="s">
        <v>331</v>
      </c>
      <c r="Q2" s="2283"/>
      <c r="T2" s="52"/>
      <c r="U2" s="52"/>
      <c r="V2" s="52"/>
    </row>
    <row r="3" spans="1:22" ht="18" customHeight="1" x14ac:dyDescent="0.25">
      <c r="B3" s="1"/>
      <c r="C3" s="2"/>
      <c r="D3" s="64"/>
      <c r="G3" s="4"/>
      <c r="J3" s="10"/>
      <c r="K3" s="2"/>
      <c r="L3" s="2"/>
      <c r="O3" s="74"/>
      <c r="P3" s="2448" t="s">
        <v>298</v>
      </c>
      <c r="Q3" s="2448"/>
      <c r="T3" s="52"/>
      <c r="U3" s="52"/>
      <c r="V3" s="52"/>
    </row>
    <row r="4" spans="1:22" ht="18.600000000000001" customHeight="1" x14ac:dyDescent="0.25">
      <c r="A4" s="2239" t="str">
        <f>'Звіт   4,5,6'!A3</f>
        <v>ЗВІТ ПРО ДОХОДИ ТА ВИТРАТИ за 1 квартал  2021 року</v>
      </c>
      <c r="B4" s="2239"/>
      <c r="C4" s="2239"/>
      <c r="D4" s="2239"/>
      <c r="E4" s="2239"/>
      <c r="F4" s="2239"/>
      <c r="G4" s="2239"/>
      <c r="H4" s="2239"/>
      <c r="I4" s="2239"/>
      <c r="J4" s="2239"/>
      <c r="K4" s="2239"/>
      <c r="L4" s="2239"/>
      <c r="M4" s="2239"/>
      <c r="N4" s="2239"/>
      <c r="O4" s="18"/>
      <c r="P4" s="18"/>
      <c r="Q4" s="18"/>
      <c r="R4" s="18"/>
      <c r="S4" s="52"/>
      <c r="T4" s="52"/>
      <c r="U4" s="52"/>
      <c r="V4" s="52"/>
    </row>
    <row r="5" spans="1:22" s="26" customFormat="1" ht="28.35" customHeight="1" thickBot="1" x14ac:dyDescent="0.35">
      <c r="A5" s="2310" t="s">
        <v>581</v>
      </c>
      <c r="B5" s="2310"/>
      <c r="C5" s="2310"/>
      <c r="D5" s="2310"/>
      <c r="I5" s="44"/>
      <c r="O5" s="17"/>
      <c r="P5" s="77" t="s">
        <v>262</v>
      </c>
      <c r="Q5" s="17"/>
    </row>
    <row r="6" spans="1:22" s="9" customFormat="1" ht="52.35" customHeight="1" x14ac:dyDescent="0.25">
      <c r="A6" s="2432" t="str">
        <f>'Звіт   4,5,6'!A5</f>
        <v>№ з/п</v>
      </c>
      <c r="B6" s="2433"/>
      <c r="C6" s="2428" t="s">
        <v>7</v>
      </c>
      <c r="D6" s="2428"/>
      <c r="E6" s="2386" t="s">
        <v>273</v>
      </c>
      <c r="F6" s="2386"/>
      <c r="G6" s="2386" t="s">
        <v>274</v>
      </c>
      <c r="H6" s="2386"/>
      <c r="I6" s="2386" t="s">
        <v>263</v>
      </c>
      <c r="J6" s="2386"/>
      <c r="K6" s="2386" t="str">
        <f>'Звіт   4,5,6'!L34</f>
        <v>Витрати на збут (93)</v>
      </c>
      <c r="L6" s="2386"/>
      <c r="M6" s="2386" t="str">
        <f>'Звіт   4,5,6'!N34</f>
        <v>Цільові витрати  (витрати за рахунок бюджетів усіх рівнів та благодійної допомоги )</v>
      </c>
      <c r="N6" s="2386"/>
      <c r="O6" s="2386" t="s">
        <v>434</v>
      </c>
      <c r="P6" s="2386"/>
      <c r="Q6" s="16"/>
    </row>
    <row r="7" spans="1:22" s="9" customFormat="1" ht="51.75" customHeight="1" x14ac:dyDescent="0.25">
      <c r="A7" s="2431"/>
      <c r="B7" s="2352"/>
      <c r="C7" s="2429"/>
      <c r="D7" s="2429"/>
      <c r="E7" s="47" t="s">
        <v>87</v>
      </c>
      <c r="F7" s="47" t="s">
        <v>8</v>
      </c>
      <c r="G7" s="47" t="s">
        <v>87</v>
      </c>
      <c r="H7" s="47" t="s">
        <v>8</v>
      </c>
      <c r="I7" s="47" t="s">
        <v>87</v>
      </c>
      <c r="J7" s="47" t="s">
        <v>8</v>
      </c>
      <c r="K7" s="47" t="s">
        <v>87</v>
      </c>
      <c r="L7" s="47" t="s">
        <v>8</v>
      </c>
      <c r="M7" s="47" t="s">
        <v>87</v>
      </c>
      <c r="N7" s="47" t="s">
        <v>8</v>
      </c>
      <c r="O7" s="47" t="s">
        <v>87</v>
      </c>
      <c r="P7" s="76" t="s">
        <v>8</v>
      </c>
      <c r="Q7" s="16"/>
    </row>
    <row r="8" spans="1:22" s="25" customFormat="1" ht="23.65" customHeight="1" x14ac:dyDescent="0.25">
      <c r="A8" s="2431">
        <v>1</v>
      </c>
      <c r="B8" s="2352"/>
      <c r="C8" s="2352">
        <v>2</v>
      </c>
      <c r="D8" s="2352"/>
      <c r="E8" s="623">
        <v>3</v>
      </c>
      <c r="F8" s="623">
        <v>4</v>
      </c>
      <c r="G8" s="624">
        <v>5</v>
      </c>
      <c r="H8" s="623">
        <v>6</v>
      </c>
      <c r="I8" s="623">
        <v>7</v>
      </c>
      <c r="J8" s="624">
        <v>8</v>
      </c>
      <c r="K8" s="623">
        <v>9</v>
      </c>
      <c r="L8" s="624">
        <v>10</v>
      </c>
      <c r="M8" s="623">
        <v>11</v>
      </c>
      <c r="N8" s="624">
        <v>12</v>
      </c>
      <c r="O8" s="623">
        <v>13</v>
      </c>
      <c r="P8" s="341">
        <v>14</v>
      </c>
      <c r="Q8" s="53"/>
    </row>
    <row r="9" spans="1:22" s="9" customFormat="1" ht="23.1" customHeight="1" x14ac:dyDescent="0.3">
      <c r="A9" s="2425" t="s">
        <v>160</v>
      </c>
      <c r="B9" s="2426"/>
      <c r="C9" s="2312" t="s">
        <v>152</v>
      </c>
      <c r="D9" s="2312"/>
      <c r="E9" s="48">
        <f t="shared" ref="E9:P9" si="0">SUM(E10,E11,E12,E13,E14,E15)</f>
        <v>0</v>
      </c>
      <c r="F9" s="48">
        <f t="shared" si="0"/>
        <v>16891504</v>
      </c>
      <c r="G9" s="48">
        <f t="shared" si="0"/>
        <v>0</v>
      </c>
      <c r="H9" s="48">
        <f t="shared" si="0"/>
        <v>15435982</v>
      </c>
      <c r="I9" s="48">
        <f t="shared" si="0"/>
        <v>0</v>
      </c>
      <c r="J9" s="48">
        <f t="shared" si="0"/>
        <v>1455522</v>
      </c>
      <c r="K9" s="48">
        <f t="shared" si="0"/>
        <v>0</v>
      </c>
      <c r="L9" s="48">
        <f t="shared" si="0"/>
        <v>0</v>
      </c>
      <c r="M9" s="48">
        <f t="shared" si="0"/>
        <v>0</v>
      </c>
      <c r="N9" s="162">
        <f t="shared" si="0"/>
        <v>0</v>
      </c>
      <c r="O9" s="48">
        <f t="shared" si="0"/>
        <v>0</v>
      </c>
      <c r="P9" s="867">
        <f t="shared" si="0"/>
        <v>0</v>
      </c>
      <c r="Q9" s="16"/>
    </row>
    <row r="10" spans="1:22" s="9" customFormat="1" ht="23.1" customHeight="1" x14ac:dyDescent="0.3">
      <c r="A10" s="2425" t="s">
        <v>157</v>
      </c>
      <c r="B10" s="2426"/>
      <c r="C10" s="2338" t="s">
        <v>33</v>
      </c>
      <c r="D10" s="2338"/>
      <c r="E10" s="48">
        <f>SUM(G10,I10,M10,O10,K10)</f>
        <v>0</v>
      </c>
      <c r="F10" s="48">
        <f>SUM(H10,J10,N10,P10,L10)</f>
        <v>139369</v>
      </c>
      <c r="G10" s="417">
        <v>0</v>
      </c>
      <c r="H10" s="417">
        <v>0</v>
      </c>
      <c r="I10" s="417">
        <v>0</v>
      </c>
      <c r="J10" s="417">
        <v>139369</v>
      </c>
      <c r="K10" s="417">
        <v>0</v>
      </c>
      <c r="L10" s="417">
        <v>0</v>
      </c>
      <c r="M10" s="417">
        <v>0</v>
      </c>
      <c r="N10" s="417">
        <v>0</v>
      </c>
      <c r="O10" s="417">
        <v>0</v>
      </c>
      <c r="P10" s="124">
        <v>0</v>
      </c>
      <c r="Q10" s="16"/>
    </row>
    <row r="11" spans="1:22" s="9" customFormat="1" ht="23.1" customHeight="1" x14ac:dyDescent="0.3">
      <c r="A11" s="2425" t="s">
        <v>161</v>
      </c>
      <c r="B11" s="2426"/>
      <c r="C11" s="2338" t="s">
        <v>34</v>
      </c>
      <c r="D11" s="2338"/>
      <c r="E11" s="48">
        <f t="shared" ref="E11:F16" si="1">SUM(G11,I11,M11,O11,K11)</f>
        <v>0</v>
      </c>
      <c r="F11" s="48">
        <f t="shared" si="1"/>
        <v>1352141</v>
      </c>
      <c r="G11" s="417">
        <v>0</v>
      </c>
      <c r="H11" s="417">
        <v>897815</v>
      </c>
      <c r="I11" s="417">
        <v>0</v>
      </c>
      <c r="J11" s="417">
        <v>454326</v>
      </c>
      <c r="K11" s="417">
        <v>0</v>
      </c>
      <c r="L11" s="417">
        <v>0</v>
      </c>
      <c r="M11" s="417">
        <v>0</v>
      </c>
      <c r="N11" s="417">
        <v>0</v>
      </c>
      <c r="O11" s="417">
        <v>0</v>
      </c>
      <c r="P11" s="124">
        <v>0</v>
      </c>
      <c r="Q11" s="16"/>
    </row>
    <row r="12" spans="1:22" s="9" customFormat="1" ht="21.6" customHeight="1" x14ac:dyDescent="0.3">
      <c r="A12" s="2425" t="s">
        <v>162</v>
      </c>
      <c r="B12" s="2426"/>
      <c r="C12" s="2338" t="s">
        <v>15</v>
      </c>
      <c r="D12" s="2338"/>
      <c r="E12" s="48">
        <f t="shared" si="1"/>
        <v>0</v>
      </c>
      <c r="F12" s="48">
        <f t="shared" si="1"/>
        <v>3009322</v>
      </c>
      <c r="G12" s="58">
        <v>0</v>
      </c>
      <c r="H12" s="417">
        <v>3009322</v>
      </c>
      <c r="I12" s="204" t="s">
        <v>296</v>
      </c>
      <c r="J12" s="204" t="s">
        <v>296</v>
      </c>
      <c r="K12" s="204" t="s">
        <v>296</v>
      </c>
      <c r="L12" s="204" t="s">
        <v>296</v>
      </c>
      <c r="M12" s="417">
        <v>0</v>
      </c>
      <c r="N12" s="417">
        <v>0</v>
      </c>
      <c r="O12" s="58">
        <v>0</v>
      </c>
      <c r="P12" s="61">
        <v>0</v>
      </c>
      <c r="Q12" s="16"/>
    </row>
    <row r="13" spans="1:22" s="9" customFormat="1" ht="37.9" customHeight="1" x14ac:dyDescent="0.3">
      <c r="A13" s="2425" t="s">
        <v>163</v>
      </c>
      <c r="B13" s="2426"/>
      <c r="C13" s="2338" t="s">
        <v>433</v>
      </c>
      <c r="D13" s="2338"/>
      <c r="E13" s="48">
        <f t="shared" si="1"/>
        <v>0</v>
      </c>
      <c r="F13" s="48">
        <f t="shared" si="1"/>
        <v>6019831</v>
      </c>
      <c r="G13" s="866">
        <v>0</v>
      </c>
      <c r="H13" s="417">
        <v>6019831</v>
      </c>
      <c r="I13" s="204" t="s">
        <v>296</v>
      </c>
      <c r="J13" s="204" t="s">
        <v>296</v>
      </c>
      <c r="K13" s="204" t="s">
        <v>296</v>
      </c>
      <c r="L13" s="204" t="s">
        <v>296</v>
      </c>
      <c r="M13" s="417">
        <v>0</v>
      </c>
      <c r="N13" s="417">
        <v>0</v>
      </c>
      <c r="O13" s="866">
        <v>0</v>
      </c>
      <c r="P13" s="61">
        <v>0</v>
      </c>
      <c r="Q13" s="16"/>
    </row>
    <row r="14" spans="1:22" s="9" customFormat="1" ht="23.1" customHeight="1" x14ac:dyDescent="0.3">
      <c r="A14" s="2425" t="s">
        <v>164</v>
      </c>
      <c r="B14" s="2426"/>
      <c r="C14" s="2338" t="s">
        <v>17</v>
      </c>
      <c r="D14" s="2338"/>
      <c r="E14" s="48">
        <f t="shared" si="1"/>
        <v>0</v>
      </c>
      <c r="F14" s="48">
        <f t="shared" si="1"/>
        <v>2691107</v>
      </c>
      <c r="G14" s="58">
        <v>0</v>
      </c>
      <c r="H14" s="417">
        <v>2691107</v>
      </c>
      <c r="I14" s="204" t="s">
        <v>296</v>
      </c>
      <c r="J14" s="204" t="s">
        <v>296</v>
      </c>
      <c r="K14" s="204" t="s">
        <v>296</v>
      </c>
      <c r="L14" s="204" t="s">
        <v>296</v>
      </c>
      <c r="M14" s="417">
        <v>0</v>
      </c>
      <c r="N14" s="417">
        <v>0</v>
      </c>
      <c r="O14" s="58">
        <v>0</v>
      </c>
      <c r="P14" s="61">
        <v>0</v>
      </c>
      <c r="Q14" s="16"/>
    </row>
    <row r="15" spans="1:22" s="9" customFormat="1" ht="23.1" customHeight="1" x14ac:dyDescent="0.3">
      <c r="A15" s="2425" t="s">
        <v>165</v>
      </c>
      <c r="B15" s="2426"/>
      <c r="C15" s="2338" t="s">
        <v>224</v>
      </c>
      <c r="D15" s="2338"/>
      <c r="E15" s="48">
        <f t="shared" si="1"/>
        <v>0</v>
      </c>
      <c r="F15" s="48">
        <f t="shared" si="1"/>
        <v>3679734</v>
      </c>
      <c r="G15" s="58">
        <v>0</v>
      </c>
      <c r="H15" s="417">
        <v>2817907</v>
      </c>
      <c r="I15" s="58">
        <v>0</v>
      </c>
      <c r="J15" s="58">
        <v>861827</v>
      </c>
      <c r="K15" s="417">
        <v>0</v>
      </c>
      <c r="L15" s="417">
        <v>0</v>
      </c>
      <c r="M15" s="417">
        <v>0</v>
      </c>
      <c r="N15" s="417">
        <v>0</v>
      </c>
      <c r="O15" s="58">
        <v>0</v>
      </c>
      <c r="P15" s="61">
        <v>0</v>
      </c>
      <c r="Q15" s="16"/>
    </row>
    <row r="16" spans="1:22" s="9" customFormat="1" ht="23.1" customHeight="1" thickBot="1" x14ac:dyDescent="0.35">
      <c r="A16" s="2388" t="s">
        <v>166</v>
      </c>
      <c r="B16" s="2389"/>
      <c r="C16" s="2430" t="s">
        <v>18</v>
      </c>
      <c r="D16" s="2430"/>
      <c r="E16" s="211">
        <f t="shared" si="1"/>
        <v>0</v>
      </c>
      <c r="F16" s="211">
        <f t="shared" si="1"/>
        <v>3761579</v>
      </c>
      <c r="G16" s="62">
        <v>0</v>
      </c>
      <c r="H16" s="422">
        <v>3427236</v>
      </c>
      <c r="I16" s="62">
        <v>0</v>
      </c>
      <c r="J16" s="62">
        <v>334343</v>
      </c>
      <c r="K16" s="422">
        <v>0</v>
      </c>
      <c r="L16" s="422">
        <v>0</v>
      </c>
      <c r="M16" s="422">
        <v>0</v>
      </c>
      <c r="N16" s="422">
        <v>0</v>
      </c>
      <c r="O16" s="62">
        <v>0</v>
      </c>
      <c r="P16" s="63">
        <v>0</v>
      </c>
      <c r="Q16" s="16"/>
    </row>
    <row r="17" spans="1:22" ht="34.35" customHeight="1" thickBot="1" x14ac:dyDescent="0.35">
      <c r="A17" s="2310" t="s">
        <v>515</v>
      </c>
      <c r="B17" s="2310"/>
      <c r="C17" s="2310"/>
      <c r="D17" s="2310"/>
      <c r="H17" s="64"/>
      <c r="L17" s="56"/>
      <c r="M17" s="655" t="s">
        <v>37</v>
      </c>
      <c r="N17" s="672"/>
    </row>
    <row r="18" spans="1:22" ht="31.35" customHeight="1" thickBot="1" x14ac:dyDescent="0.3">
      <c r="A18" s="2390" t="s">
        <v>38</v>
      </c>
      <c r="B18" s="2418" t="s">
        <v>7</v>
      </c>
      <c r="C18" s="2418"/>
      <c r="D18" s="2418"/>
      <c r="E18" s="2421" t="s">
        <v>261</v>
      </c>
      <c r="F18" s="2330" t="s">
        <v>33</v>
      </c>
      <c r="G18" s="2330" t="s">
        <v>34</v>
      </c>
      <c r="H18" s="2330"/>
      <c r="I18" s="2330" t="s">
        <v>15</v>
      </c>
      <c r="J18" s="2330" t="s">
        <v>433</v>
      </c>
      <c r="K18" s="2330" t="s">
        <v>17</v>
      </c>
      <c r="L18" s="2330" t="s">
        <v>224</v>
      </c>
      <c r="M18" s="2330"/>
      <c r="N18" s="2330" t="s">
        <v>329</v>
      </c>
      <c r="O18" s="2150" t="s">
        <v>678</v>
      </c>
      <c r="P18" s="2399" t="s">
        <v>1260</v>
      </c>
      <c r="Q18" s="273" t="s">
        <v>679</v>
      </c>
      <c r="R18" s="109"/>
      <c r="S18" s="109"/>
    </row>
    <row r="19" spans="1:22" ht="113.25" customHeight="1" x14ac:dyDescent="0.25">
      <c r="A19" s="2391"/>
      <c r="B19" s="2419"/>
      <c r="C19" s="2419"/>
      <c r="D19" s="2419"/>
      <c r="E19" s="2422"/>
      <c r="F19" s="2387"/>
      <c r="G19" s="1027" t="s">
        <v>790</v>
      </c>
      <c r="H19" s="139" t="s">
        <v>482</v>
      </c>
      <c r="I19" s="2387"/>
      <c r="J19" s="2387"/>
      <c r="K19" s="2387"/>
      <c r="L19" s="78" t="s">
        <v>791</v>
      </c>
      <c r="M19" s="139" t="s">
        <v>341</v>
      </c>
      <c r="N19" s="2387"/>
      <c r="O19" s="2400"/>
      <c r="P19" s="2399"/>
      <c r="Q19" s="2395" t="s">
        <v>1765</v>
      </c>
      <c r="R19" s="2395"/>
      <c r="S19" s="2396"/>
    </row>
    <row r="20" spans="1:22" ht="18.75" customHeight="1" x14ac:dyDescent="0.25">
      <c r="A20" s="138">
        <v>1</v>
      </c>
      <c r="B20" s="2419">
        <v>2</v>
      </c>
      <c r="C20" s="2419"/>
      <c r="D20" s="2419"/>
      <c r="E20" s="79">
        <v>3</v>
      </c>
      <c r="F20" s="93">
        <v>4</v>
      </c>
      <c r="G20" s="79">
        <v>5</v>
      </c>
      <c r="H20" s="93">
        <v>6</v>
      </c>
      <c r="I20" s="79">
        <v>7</v>
      </c>
      <c r="J20" s="93">
        <v>8</v>
      </c>
      <c r="K20" s="79">
        <v>9</v>
      </c>
      <c r="L20" s="93">
        <v>10</v>
      </c>
      <c r="M20" s="79">
        <v>11</v>
      </c>
      <c r="N20" s="93">
        <v>12</v>
      </c>
      <c r="O20" s="669">
        <v>13</v>
      </c>
      <c r="P20" s="2399"/>
      <c r="Q20" s="2397" t="s">
        <v>680</v>
      </c>
      <c r="R20" s="2401" t="s">
        <v>1766</v>
      </c>
      <c r="S20" s="2402"/>
    </row>
    <row r="21" spans="1:22" ht="29.1" customHeight="1" thickBot="1" x14ac:dyDescent="0.3">
      <c r="A21" s="138">
        <v>1</v>
      </c>
      <c r="B21" s="2423" t="s">
        <v>39</v>
      </c>
      <c r="C21" s="2423"/>
      <c r="D21" s="2423"/>
      <c r="E21" s="1031">
        <f>SUM(F21:M21)</f>
        <v>577</v>
      </c>
      <c r="F21" s="1031">
        <f t="shared" ref="F21:N21" si="2">F22+F23+F24</f>
        <v>2</v>
      </c>
      <c r="G21" s="1031">
        <f t="shared" si="2"/>
        <v>18</v>
      </c>
      <c r="H21" s="1031">
        <f t="shared" si="2"/>
        <v>18</v>
      </c>
      <c r="I21" s="1031">
        <f t="shared" si="2"/>
        <v>71</v>
      </c>
      <c r="J21" s="1031">
        <f t="shared" si="2"/>
        <v>190</v>
      </c>
      <c r="K21" s="1031">
        <f t="shared" si="2"/>
        <v>119</v>
      </c>
      <c r="L21" s="1031">
        <f t="shared" si="2"/>
        <v>153</v>
      </c>
      <c r="M21" s="1031">
        <f t="shared" si="2"/>
        <v>6</v>
      </c>
      <c r="N21" s="1031">
        <f t="shared" si="2"/>
        <v>254426</v>
      </c>
      <c r="O21" s="1032">
        <f>N21/E21</f>
        <v>440.94627383015597</v>
      </c>
      <c r="Q21" s="2398"/>
      <c r="R21" s="2403">
        <f>487</f>
        <v>487</v>
      </c>
      <c r="S21" s="2404"/>
    </row>
    <row r="22" spans="1:22" ht="29.1" customHeight="1" x14ac:dyDescent="0.25">
      <c r="A22" s="138" t="s">
        <v>89</v>
      </c>
      <c r="B22" s="2417" t="s">
        <v>328</v>
      </c>
      <c r="C22" s="2417"/>
      <c r="D22" s="2417"/>
      <c r="E22" s="1031">
        <f>SUM(F22:M22)</f>
        <v>569</v>
      </c>
      <c r="F22" s="1026">
        <v>2</v>
      </c>
      <c r="G22" s="1026">
        <v>18</v>
      </c>
      <c r="H22" s="1026">
        <v>18</v>
      </c>
      <c r="I22" s="1026">
        <v>65</v>
      </c>
      <c r="J22" s="1026">
        <v>190</v>
      </c>
      <c r="K22" s="1026">
        <v>118</v>
      </c>
      <c r="L22" s="1026">
        <v>152</v>
      </c>
      <c r="M22" s="1026">
        <v>6</v>
      </c>
      <c r="N22" s="1026">
        <v>253089</v>
      </c>
      <c r="O22" s="1032">
        <f>N22/E22</f>
        <v>444.79613356766259</v>
      </c>
      <c r="P22" s="110"/>
      <c r="Q22" s="118"/>
      <c r="R22" s="118"/>
    </row>
    <row r="23" spans="1:22" ht="29.1" customHeight="1" x14ac:dyDescent="0.25">
      <c r="A23" s="138" t="s">
        <v>90</v>
      </c>
      <c r="B23" s="2417" t="s">
        <v>40</v>
      </c>
      <c r="C23" s="2417"/>
      <c r="D23" s="2417"/>
      <c r="E23" s="1031">
        <f>SUM(F23:M23)</f>
        <v>8</v>
      </c>
      <c r="F23" s="1026">
        <v>0</v>
      </c>
      <c r="G23" s="1026">
        <v>0</v>
      </c>
      <c r="H23" s="1026">
        <v>0</v>
      </c>
      <c r="I23" s="1026">
        <v>6</v>
      </c>
      <c r="J23" s="1026">
        <v>0</v>
      </c>
      <c r="K23" s="1026">
        <v>1</v>
      </c>
      <c r="L23" s="1026">
        <v>1</v>
      </c>
      <c r="M23" s="1026">
        <v>0</v>
      </c>
      <c r="N23" s="1026">
        <v>1337</v>
      </c>
      <c r="O23" s="1032">
        <f>N23/E23</f>
        <v>167.125</v>
      </c>
      <c r="P23" s="110"/>
      <c r="Q23" s="110"/>
      <c r="R23" s="110"/>
    </row>
    <row r="24" spans="1:22" s="12" customFormat="1" ht="44.65" customHeight="1" thickBot="1" x14ac:dyDescent="0.3">
      <c r="A24" s="670" t="s">
        <v>91</v>
      </c>
      <c r="B24" s="2424" t="s">
        <v>41</v>
      </c>
      <c r="C24" s="2424"/>
      <c r="D24" s="2424"/>
      <c r="E24" s="1033">
        <f>SUM(F24:M24)</f>
        <v>0</v>
      </c>
      <c r="F24" s="1028">
        <v>0</v>
      </c>
      <c r="G24" s="1028">
        <v>0</v>
      </c>
      <c r="H24" s="1028">
        <v>0</v>
      </c>
      <c r="I24" s="1028">
        <v>0</v>
      </c>
      <c r="J24" s="1028">
        <v>0</v>
      </c>
      <c r="K24" s="1028">
        <v>0</v>
      </c>
      <c r="L24" s="1028">
        <v>0</v>
      </c>
      <c r="M24" s="1028">
        <v>0</v>
      </c>
      <c r="N24" s="1028">
        <v>0</v>
      </c>
      <c r="O24" s="1034" t="e">
        <f>N24/E24</f>
        <v>#DIV/0!</v>
      </c>
      <c r="P24" s="109"/>
      <c r="Q24" s="110"/>
      <c r="R24" s="1484"/>
      <c r="S24" s="2"/>
      <c r="T24" s="2"/>
      <c r="U24" s="2"/>
      <c r="V24" s="2"/>
    </row>
    <row r="25" spans="1:22" s="14" customFormat="1" ht="30.6" customHeight="1" thickBot="1" x14ac:dyDescent="0.3">
      <c r="A25" s="2310" t="s">
        <v>1253</v>
      </c>
      <c r="B25" s="2310"/>
      <c r="C25" s="2310"/>
      <c r="D25" s="2310"/>
      <c r="E25" s="140"/>
      <c r="F25" s="141"/>
      <c r="G25" s="141"/>
      <c r="H25" s="141"/>
      <c r="I25" s="141"/>
      <c r="J25" s="141"/>
      <c r="K25" s="141"/>
      <c r="L25" s="141"/>
      <c r="M25" s="141"/>
      <c r="N25" s="141"/>
      <c r="O25" s="143"/>
      <c r="P25" s="143"/>
      <c r="Q25" s="143"/>
      <c r="R25" s="1485"/>
      <c r="S25" s="4"/>
      <c r="T25" s="4"/>
      <c r="U25" s="4"/>
      <c r="V25" s="4"/>
    </row>
    <row r="26" spans="1:22" s="12" customFormat="1" ht="30" customHeight="1" x14ac:dyDescent="0.25">
      <c r="A26" s="2415" t="s">
        <v>38</v>
      </c>
      <c r="B26" s="2204" t="s">
        <v>7</v>
      </c>
      <c r="C26" s="2204"/>
      <c r="D26" s="2204"/>
      <c r="E26" s="2212" t="s">
        <v>261</v>
      </c>
      <c r="F26" s="2330" t="s">
        <v>33</v>
      </c>
      <c r="G26" s="2330" t="s">
        <v>34</v>
      </c>
      <c r="H26" s="2330" t="s">
        <v>15</v>
      </c>
      <c r="I26" s="2330" t="s">
        <v>16</v>
      </c>
      <c r="J26" s="2330" t="s">
        <v>17</v>
      </c>
      <c r="K26" s="2331" t="s">
        <v>224</v>
      </c>
      <c r="L26" s="2451" t="s">
        <v>1262</v>
      </c>
      <c r="M26" s="2452"/>
      <c r="N26" s="2452"/>
      <c r="O26" s="2452"/>
      <c r="P26" s="52"/>
      <c r="Q26" s="52"/>
      <c r="R26" s="1486"/>
      <c r="S26" s="2"/>
      <c r="T26" s="2"/>
      <c r="U26" s="2"/>
      <c r="V26" s="2"/>
    </row>
    <row r="27" spans="1:22" s="12" customFormat="1" ht="26.65" customHeight="1" x14ac:dyDescent="0.25">
      <c r="A27" s="2416"/>
      <c r="B27" s="2186"/>
      <c r="C27" s="2186"/>
      <c r="D27" s="2186"/>
      <c r="E27" s="2214"/>
      <c r="F27" s="2387"/>
      <c r="G27" s="2387"/>
      <c r="H27" s="2387"/>
      <c r="I27" s="2387"/>
      <c r="J27" s="2387"/>
      <c r="K27" s="2411"/>
      <c r="L27" s="2451"/>
      <c r="M27" s="2452"/>
      <c r="N27" s="2452"/>
      <c r="O27" s="2452"/>
      <c r="P27" s="52"/>
      <c r="Q27" s="52"/>
      <c r="R27" s="1487"/>
      <c r="S27" s="2"/>
      <c r="T27" s="2"/>
      <c r="U27" s="2"/>
      <c r="V27" s="2"/>
    </row>
    <row r="28" spans="1:22" s="12" customFormat="1" ht="21" customHeight="1" x14ac:dyDescent="0.25">
      <c r="A28" s="149">
        <v>1</v>
      </c>
      <c r="B28" s="2352">
        <v>2</v>
      </c>
      <c r="C28" s="2352"/>
      <c r="D28" s="2352"/>
      <c r="E28" s="935">
        <v>3</v>
      </c>
      <c r="F28" s="150">
        <v>4</v>
      </c>
      <c r="G28" s="935">
        <v>5</v>
      </c>
      <c r="H28" s="150">
        <v>6</v>
      </c>
      <c r="I28" s="935">
        <v>7</v>
      </c>
      <c r="J28" s="150">
        <v>8</v>
      </c>
      <c r="K28" s="151">
        <v>9</v>
      </c>
      <c r="L28" s="2451"/>
      <c r="M28" s="2452"/>
      <c r="N28" s="2452"/>
      <c r="O28" s="2452"/>
      <c r="P28" s="52"/>
      <c r="Q28" s="52"/>
      <c r="R28" s="2"/>
      <c r="S28" s="2"/>
      <c r="T28" s="2"/>
      <c r="U28" s="2"/>
      <c r="V28" s="2"/>
    </row>
    <row r="29" spans="1:22" s="12" customFormat="1" ht="53.25" customHeight="1" thickBot="1" x14ac:dyDescent="0.3">
      <c r="A29" s="1035">
        <v>1</v>
      </c>
      <c r="B29" s="2420" t="s">
        <v>1631</v>
      </c>
      <c r="C29" s="2420"/>
      <c r="D29" s="2420"/>
      <c r="E29" s="1427">
        <f>IFERROR(F9/E21/3,0)</f>
        <v>9758.2345465049093</v>
      </c>
      <c r="F29" s="1427">
        <f>IFERROR((F10)/F21/3,0)</f>
        <v>23228.166666666668</v>
      </c>
      <c r="G29" s="1427">
        <f>IFERROR(F11/(G21+H21)/3,0)</f>
        <v>12519.824074074073</v>
      </c>
      <c r="H29" s="1427">
        <f>IFERROR((F12)/I21/3,0)</f>
        <v>14128.272300469484</v>
      </c>
      <c r="I29" s="1427">
        <f>IFERROR((F13)/J21/3,0)</f>
        <v>10561.10701754386</v>
      </c>
      <c r="J29" s="1427">
        <f>IFERROR((F14)/K21/3,0)</f>
        <v>7538.1148459383758</v>
      </c>
      <c r="K29" s="1428">
        <f>IFERROR(F15/(L21+M21)/3,0)</f>
        <v>7714.3270440251572</v>
      </c>
      <c r="L29" s="2451"/>
      <c r="M29" s="2452"/>
      <c r="N29" s="2452"/>
      <c r="O29" s="2452"/>
      <c r="P29" s="52"/>
      <c r="Q29" s="52"/>
      <c r="R29" s="2"/>
      <c r="S29" s="2"/>
      <c r="T29" s="2"/>
      <c r="U29" s="2"/>
      <c r="V29" s="2"/>
    </row>
    <row r="30" spans="1:22" s="12" customFormat="1" ht="19.350000000000001" customHeight="1" x14ac:dyDescent="0.25">
      <c r="A30" s="2414" t="s">
        <v>364</v>
      </c>
      <c r="B30" s="2414"/>
      <c r="C30" s="2414"/>
      <c r="D30" s="2414"/>
      <c r="E30" s="2414"/>
      <c r="F30" s="2414"/>
      <c r="G30" s="2414"/>
      <c r="H30" s="2414"/>
      <c r="I30" s="2414"/>
      <c r="J30" s="2414"/>
      <c r="K30" s="2414"/>
      <c r="L30" s="2414"/>
      <c r="M30" s="2414"/>
      <c r="N30" s="2"/>
      <c r="O30" s="52"/>
      <c r="P30" s="52"/>
      <c r="Q30" s="52"/>
      <c r="R30" s="2"/>
      <c r="S30" s="2"/>
      <c r="T30" s="2"/>
      <c r="U30" s="2"/>
      <c r="V30" s="2"/>
    </row>
    <row r="31" spans="1:22" s="12" customFormat="1" ht="19.350000000000001" customHeight="1" x14ac:dyDescent="0.25">
      <c r="A31" s="2413" t="s">
        <v>365</v>
      </c>
      <c r="B31" s="2413"/>
      <c r="C31" s="2413"/>
      <c r="D31" s="2413"/>
      <c r="E31" s="2413"/>
      <c r="F31" s="2413"/>
      <c r="G31" s="2413"/>
      <c r="H31" s="2413"/>
      <c r="I31" s="2413"/>
      <c r="J31" s="2413"/>
      <c r="K31" s="2413"/>
      <c r="L31" s="2413"/>
      <c r="M31" s="2413"/>
      <c r="N31" s="2"/>
      <c r="O31" s="52"/>
      <c r="P31" s="52"/>
      <c r="Q31" s="52"/>
      <c r="R31" s="2"/>
      <c r="S31" s="2"/>
      <c r="T31" s="2"/>
      <c r="U31" s="2"/>
      <c r="V31" s="2"/>
    </row>
    <row r="32" spans="1:22" s="12" customFormat="1" ht="19.350000000000001" customHeight="1" x14ac:dyDescent="0.25">
      <c r="A32" s="2412" t="s">
        <v>431</v>
      </c>
      <c r="B32" s="2412"/>
      <c r="C32" s="2412"/>
      <c r="D32" s="2412"/>
      <c r="E32" s="2412"/>
      <c r="F32" s="2412"/>
      <c r="G32" s="2412"/>
      <c r="H32" s="2412"/>
      <c r="I32" s="2412"/>
      <c r="J32" s="2412"/>
      <c r="K32" s="2412"/>
      <c r="L32" s="14"/>
      <c r="M32" s="14"/>
      <c r="N32" s="2"/>
      <c r="O32" s="52"/>
      <c r="P32" s="52"/>
      <c r="Q32" s="52"/>
      <c r="R32" s="2"/>
      <c r="S32" s="2"/>
      <c r="T32" s="2"/>
      <c r="U32" s="2"/>
      <c r="V32" s="2"/>
    </row>
    <row r="33" spans="1:22" s="12" customFormat="1" ht="21.75" thickBot="1" x14ac:dyDescent="0.4">
      <c r="A33" s="75" t="s">
        <v>187</v>
      </c>
      <c r="B33" s="24"/>
      <c r="C33" s="13"/>
      <c r="D33" s="11"/>
      <c r="E33" s="6"/>
      <c r="F33" s="4"/>
      <c r="G33" s="4"/>
      <c r="H33" s="4"/>
      <c r="I33" s="4"/>
      <c r="J33" s="4"/>
      <c r="K33" s="4"/>
      <c r="L33" s="14"/>
      <c r="N33" s="2"/>
      <c r="O33" s="52"/>
      <c r="P33" s="52"/>
      <c r="Q33" s="52"/>
      <c r="R33" s="2"/>
      <c r="S33" s="2"/>
      <c r="T33" s="2"/>
      <c r="U33" s="2"/>
      <c r="V33" s="2"/>
    </row>
    <row r="34" spans="1:22" s="12" customFormat="1" ht="24.75" customHeight="1" thickBot="1" x14ac:dyDescent="0.35">
      <c r="A34" s="55" t="s">
        <v>1245</v>
      </c>
      <c r="B34" s="55"/>
      <c r="C34" s="55"/>
      <c r="D34" s="11"/>
      <c r="E34" s="6"/>
      <c r="F34" s="4"/>
      <c r="G34" s="4"/>
      <c r="H34" s="4"/>
      <c r="I34" s="4"/>
      <c r="J34" s="2455" t="s">
        <v>1235</v>
      </c>
      <c r="K34" s="2456"/>
      <c r="L34" s="2456"/>
      <c r="M34" s="2457"/>
      <c r="N34" s="814"/>
      <c r="O34" s="814"/>
      <c r="P34" s="52"/>
      <c r="Q34" s="52"/>
      <c r="R34" s="2"/>
      <c r="S34" s="2"/>
      <c r="T34" s="2"/>
      <c r="U34" s="2"/>
      <c r="V34" s="2"/>
    </row>
    <row r="35" spans="1:22" s="12" customFormat="1" ht="21.75" customHeight="1" x14ac:dyDescent="0.25">
      <c r="A35" s="2407" t="s">
        <v>88</v>
      </c>
      <c r="B35" s="2408"/>
      <c r="C35" s="2441" t="s">
        <v>7</v>
      </c>
      <c r="D35" s="2442"/>
      <c r="E35" s="2408"/>
      <c r="F35" s="2439" t="s">
        <v>87</v>
      </c>
      <c r="G35" s="2440"/>
      <c r="H35" s="2405" t="s">
        <v>8</v>
      </c>
      <c r="I35" s="2406"/>
      <c r="J35" s="2453" t="s">
        <v>87</v>
      </c>
      <c r="K35" s="2419"/>
      <c r="L35" s="2419" t="s">
        <v>8</v>
      </c>
      <c r="M35" s="2454"/>
      <c r="P35" s="52"/>
      <c r="Q35" s="52"/>
      <c r="R35" s="2"/>
      <c r="S35" s="2"/>
      <c r="T35" s="2"/>
      <c r="U35" s="2"/>
      <c r="V35" s="2"/>
    </row>
    <row r="36" spans="1:22" s="12" customFormat="1" ht="34.9" customHeight="1" x14ac:dyDescent="0.25">
      <c r="A36" s="2409"/>
      <c r="B36" s="2410"/>
      <c r="C36" s="2443"/>
      <c r="D36" s="2444"/>
      <c r="E36" s="2410"/>
      <c r="F36" s="159" t="s">
        <v>432</v>
      </c>
      <c r="G36" s="159" t="s">
        <v>350</v>
      </c>
      <c r="H36" s="159" t="s">
        <v>432</v>
      </c>
      <c r="I36" s="160" t="s">
        <v>350</v>
      </c>
      <c r="J36" s="2394" t="s">
        <v>1249</v>
      </c>
      <c r="K36" s="2314" t="s">
        <v>1254</v>
      </c>
      <c r="L36" s="2324" t="s">
        <v>1250</v>
      </c>
      <c r="M36" s="2450" t="s">
        <v>1255</v>
      </c>
      <c r="O36" s="2332"/>
      <c r="P36" s="52"/>
      <c r="Q36" s="52"/>
      <c r="R36" s="2"/>
      <c r="S36" s="2"/>
      <c r="T36" s="2"/>
      <c r="U36" s="2"/>
      <c r="V36" s="2"/>
    </row>
    <row r="37" spans="1:22" s="12" customFormat="1" ht="20.25" x14ac:dyDescent="0.25">
      <c r="A37" s="2445">
        <v>1</v>
      </c>
      <c r="B37" s="2446"/>
      <c r="C37" s="2437">
        <v>2</v>
      </c>
      <c r="D37" s="2438"/>
      <c r="E37" s="2438"/>
      <c r="F37" s="947">
        <v>3</v>
      </c>
      <c r="G37" s="179">
        <v>4</v>
      </c>
      <c r="H37" s="947">
        <v>5</v>
      </c>
      <c r="I37" s="161">
        <v>6</v>
      </c>
      <c r="J37" s="2394"/>
      <c r="K37" s="2314"/>
      <c r="L37" s="2325"/>
      <c r="M37" s="2450"/>
      <c r="O37" s="2332"/>
      <c r="P37" s="52"/>
      <c r="Q37" s="52"/>
      <c r="R37" s="2"/>
      <c r="S37" s="2"/>
      <c r="T37" s="2"/>
      <c r="U37" s="2"/>
      <c r="V37" s="2"/>
    </row>
    <row r="38" spans="1:22" s="12" customFormat="1" ht="33.75" customHeight="1" thickBot="1" x14ac:dyDescent="0.3">
      <c r="A38" s="2392">
        <v>1</v>
      </c>
      <c r="B38" s="2393"/>
      <c r="C38" s="2434" t="s">
        <v>1246</v>
      </c>
      <c r="D38" s="2435"/>
      <c r="E38" s="2436"/>
      <c r="F38" s="1029">
        <v>0</v>
      </c>
      <c r="G38" s="1029">
        <v>0</v>
      </c>
      <c r="H38" s="1029">
        <v>47122</v>
      </c>
      <c r="I38" s="1030">
        <v>47122</v>
      </c>
      <c r="J38" s="2394"/>
      <c r="K38" s="2314"/>
      <c r="L38" s="2325"/>
      <c r="M38" s="2450"/>
      <c r="O38" s="2332"/>
      <c r="P38" s="52"/>
      <c r="Q38" s="52"/>
      <c r="R38" s="2"/>
      <c r="S38" s="2"/>
      <c r="T38" s="2"/>
      <c r="U38" s="2"/>
      <c r="V38" s="2"/>
    </row>
    <row r="39" spans="1:22" s="12" customFormat="1" ht="55.5" customHeight="1" x14ac:dyDescent="0.25">
      <c r="A39" s="671" t="s">
        <v>1412</v>
      </c>
      <c r="B39" s="671"/>
      <c r="C39" s="671"/>
      <c r="D39" s="671"/>
      <c r="E39" s="671"/>
      <c r="F39" s="671"/>
      <c r="G39" s="671"/>
      <c r="H39" s="671"/>
      <c r="I39" s="671"/>
      <c r="J39" s="2394"/>
      <c r="K39" s="2314"/>
      <c r="L39" s="2326"/>
      <c r="M39" s="2450"/>
      <c r="O39" s="2332"/>
      <c r="P39" s="52"/>
      <c r="Q39" s="52"/>
      <c r="R39" s="2"/>
      <c r="S39" s="2"/>
      <c r="T39" s="2"/>
      <c r="U39" s="2"/>
      <c r="V39" s="2"/>
    </row>
    <row r="40" spans="1:22" s="87" customFormat="1" ht="28.5" customHeight="1" thickBot="1" x14ac:dyDescent="0.3">
      <c r="J40" s="271" t="str">
        <f>IF('Звіт   4,5,6'!E39=0,"Дані не введено",IF(OR(AND('Звіт 1,2,3'!F32&gt;0,F38&gt;0),AND('Звіт 1,2,3'!F32=0,F38=0)),"ПРАВДА","ПОМИЛКА"))</f>
        <v>ПРАВДА</v>
      </c>
      <c r="K40" s="637" t="str">
        <f>IF('Звіт   4,5,6'!E39=0,"Дані не введено",IF(OR(AND('Звіт   4,5,6'!D45&gt;0,G38&gt;0),AND('Звіт   4,5,6'!D45=0,G38=0)),"ПРАВДА","ПОМИЛКА"))</f>
        <v>ПРАВДА</v>
      </c>
      <c r="L40" s="637" t="str">
        <f>IF('Звіт   4,5,6'!E39=0,"Дані не введено",IF(OR(AND('Звіт 1,2,3'!G32&gt;0,H38&gt;0),AND('Звіт 1,2,3'!G32=0,H38=0)),"ПРАВДА","ПОМИЛКА"))</f>
        <v>ПРАВДА</v>
      </c>
      <c r="M40" s="268" t="str">
        <f>IF('Звіт   4,5,6'!E39=0,"Дані не введено",IF(OR(AND('Звіт   4,5,6'!E45&gt;0,I38&gt;0),AND('Звіт   4,5,6'!E45=0,I38=0)),"ПРАВДА","ПОМИЛКА"))</f>
        <v>ПРАВДА</v>
      </c>
      <c r="O40" s="640"/>
      <c r="P40" s="85"/>
      <c r="Q40" s="85"/>
      <c r="R40" s="84"/>
      <c r="S40" s="84"/>
      <c r="T40" s="84"/>
      <c r="U40" s="84"/>
      <c r="V40" s="84"/>
    </row>
    <row r="41" spans="1:22" s="87" customFormat="1" ht="33" customHeight="1" x14ac:dyDescent="0.25">
      <c r="N41" s="84"/>
      <c r="O41" s="85"/>
      <c r="P41" s="85"/>
      <c r="Q41" s="85"/>
      <c r="R41" s="84"/>
      <c r="S41" s="84"/>
      <c r="T41" s="84"/>
      <c r="U41" s="84"/>
      <c r="V41" s="84"/>
    </row>
    <row r="42" spans="1:22" s="87" customFormat="1" ht="31.5" customHeight="1" x14ac:dyDescent="0.25">
      <c r="B42" s="2447" t="s">
        <v>1858</v>
      </c>
      <c r="C42" s="2447"/>
      <c r="D42" s="2447"/>
      <c r="N42" s="84"/>
      <c r="O42" s="85"/>
      <c r="P42" s="85"/>
      <c r="Q42" s="85"/>
      <c r="R42" s="84"/>
      <c r="S42" s="84"/>
      <c r="T42" s="84"/>
      <c r="U42" s="84"/>
      <c r="V42" s="84"/>
    </row>
    <row r="43" spans="1:22" s="153" customFormat="1" ht="43.5" customHeight="1" x14ac:dyDescent="0.25">
      <c r="A43" s="1429"/>
      <c r="B43" s="2383" t="s">
        <v>1633</v>
      </c>
      <c r="C43" s="2384"/>
      <c r="D43" s="2385"/>
      <c r="E43" s="1425">
        <f>E22*100/E21</f>
        <v>98.613518197573654</v>
      </c>
      <c r="F43" s="1425">
        <f t="shared" ref="F43:O43" si="3">F22*100/F21</f>
        <v>100</v>
      </c>
      <c r="G43" s="1425">
        <f t="shared" si="3"/>
        <v>100</v>
      </c>
      <c r="H43" s="1425">
        <f t="shared" si="3"/>
        <v>100</v>
      </c>
      <c r="I43" s="1425">
        <f t="shared" si="3"/>
        <v>91.549295774647888</v>
      </c>
      <c r="J43" s="1425">
        <f t="shared" si="3"/>
        <v>100</v>
      </c>
      <c r="K43" s="1425">
        <f t="shared" si="3"/>
        <v>99.159663865546221</v>
      </c>
      <c r="L43" s="1425">
        <f t="shared" si="3"/>
        <v>99.346405228758172</v>
      </c>
      <c r="M43" s="1425">
        <f>M22*100/M21</f>
        <v>100</v>
      </c>
      <c r="N43" s="1425">
        <f t="shared" si="3"/>
        <v>99.474503391948943</v>
      </c>
      <c r="O43" s="1425">
        <f t="shared" si="3"/>
        <v>100.8730904343665</v>
      </c>
      <c r="P43" s="1426" t="s">
        <v>1630</v>
      </c>
      <c r="Q43" s="1424"/>
      <c r="R43" s="1424"/>
    </row>
    <row r="44" spans="1:22" s="87" customFormat="1" ht="18" customHeight="1" x14ac:dyDescent="0.25">
      <c r="L44" s="111"/>
      <c r="N44" s="84"/>
      <c r="O44" s="85"/>
      <c r="P44" s="85"/>
      <c r="Q44" s="85"/>
      <c r="R44" s="84"/>
      <c r="S44" s="84"/>
      <c r="T44" s="84"/>
      <c r="U44" s="84"/>
      <c r="V44" s="84"/>
    </row>
    <row r="45" spans="1:22" s="87" customFormat="1" x14ac:dyDescent="0.25">
      <c r="A45" s="112"/>
      <c r="B45" s="113"/>
      <c r="C45" s="114"/>
      <c r="D45" s="84"/>
      <c r="E45" s="88"/>
      <c r="F45" s="88"/>
      <c r="G45" s="88"/>
      <c r="H45" s="84"/>
      <c r="I45" s="84"/>
      <c r="J45" s="84"/>
      <c r="K45" s="84"/>
      <c r="N45" s="84"/>
      <c r="O45" s="85"/>
      <c r="P45" s="85"/>
      <c r="Q45" s="85"/>
      <c r="R45" s="84"/>
      <c r="S45" s="84"/>
      <c r="T45" s="84"/>
      <c r="U45" s="84"/>
      <c r="V45" s="84"/>
    </row>
    <row r="46" spans="1:22" s="87" customFormat="1" x14ac:dyDescent="0.25">
      <c r="A46" s="112"/>
      <c r="B46" s="113"/>
      <c r="C46" s="114"/>
      <c r="D46" s="84"/>
      <c r="E46" s="88"/>
      <c r="F46" s="88"/>
      <c r="G46" s="88"/>
      <c r="H46" s="84"/>
      <c r="I46" s="84"/>
      <c r="J46" s="84"/>
      <c r="K46" s="84"/>
      <c r="N46" s="84"/>
      <c r="O46" s="85"/>
      <c r="P46" s="85"/>
      <c r="Q46" s="85"/>
      <c r="R46" s="84"/>
      <c r="S46" s="84"/>
      <c r="T46" s="84"/>
      <c r="U46" s="84"/>
      <c r="V46" s="84"/>
    </row>
    <row r="47" spans="1:22" s="87" customFormat="1" x14ac:dyDescent="0.25">
      <c r="A47" s="112"/>
      <c r="B47" s="113"/>
      <c r="C47" s="114"/>
      <c r="D47" s="84"/>
      <c r="E47" s="88"/>
      <c r="F47" s="88"/>
      <c r="G47" s="88"/>
      <c r="H47" s="84"/>
      <c r="I47" s="84"/>
      <c r="J47" s="84"/>
      <c r="K47" s="84"/>
      <c r="N47" s="84"/>
      <c r="O47" s="85"/>
      <c r="P47" s="85"/>
      <c r="Q47" s="85"/>
      <c r="R47" s="84"/>
      <c r="S47" s="84"/>
      <c r="T47" s="84"/>
      <c r="U47" s="84"/>
      <c r="V47" s="84"/>
    </row>
    <row r="48" spans="1:22" s="87" customFormat="1" x14ac:dyDescent="0.25">
      <c r="A48" s="112"/>
      <c r="B48" s="113"/>
      <c r="C48" s="114"/>
      <c r="D48" s="84"/>
      <c r="E48" s="88"/>
      <c r="F48" s="88"/>
      <c r="G48" s="88"/>
      <c r="H48" s="84"/>
      <c r="I48" s="84"/>
      <c r="J48" s="84"/>
      <c r="K48" s="84"/>
      <c r="N48" s="84"/>
      <c r="O48" s="85"/>
      <c r="P48" s="85"/>
      <c r="Q48" s="85"/>
      <c r="R48" s="84"/>
      <c r="S48" s="84"/>
      <c r="T48" s="84"/>
      <c r="U48" s="84"/>
      <c r="V48" s="84"/>
    </row>
    <row r="49" spans="1:22" s="84" customFormat="1" x14ac:dyDescent="0.25">
      <c r="J49" s="89"/>
      <c r="K49" s="89"/>
      <c r="L49" s="111"/>
      <c r="M49" s="87"/>
      <c r="O49" s="85"/>
      <c r="P49" s="85"/>
      <c r="Q49" s="85"/>
    </row>
    <row r="50" spans="1:22" s="84" customFormat="1" ht="25.35" customHeight="1" x14ac:dyDescent="0.25">
      <c r="J50" s="89"/>
      <c r="K50" s="89"/>
      <c r="L50" s="111"/>
      <c r="M50" s="87"/>
      <c r="O50" s="85"/>
      <c r="P50" s="85"/>
      <c r="Q50" s="85"/>
    </row>
    <row r="51" spans="1:22" s="84" customFormat="1" ht="27.6" customHeight="1" x14ac:dyDescent="0.25">
      <c r="J51" s="89"/>
      <c r="K51" s="89"/>
      <c r="L51" s="111"/>
      <c r="M51" s="87"/>
      <c r="O51" s="85"/>
      <c r="P51" s="85"/>
      <c r="Q51" s="85"/>
    </row>
    <row r="52" spans="1:22" s="87" customFormat="1" x14ac:dyDescent="0.25">
      <c r="A52" s="112"/>
      <c r="B52" s="113"/>
      <c r="C52" s="114"/>
      <c r="D52" s="84"/>
      <c r="E52" s="88"/>
      <c r="F52" s="88"/>
      <c r="G52" s="88"/>
      <c r="H52" s="84"/>
      <c r="I52" s="84"/>
      <c r="J52" s="84"/>
      <c r="K52" s="84"/>
      <c r="N52" s="84"/>
      <c r="O52" s="85"/>
      <c r="P52" s="85"/>
      <c r="Q52" s="85"/>
      <c r="R52" s="84"/>
      <c r="S52" s="84"/>
      <c r="T52" s="84"/>
      <c r="U52" s="84"/>
      <c r="V52" s="84"/>
    </row>
    <row r="53" spans="1:22" s="87" customFormat="1" x14ac:dyDescent="0.25">
      <c r="A53" s="112"/>
      <c r="B53" s="113"/>
      <c r="C53" s="114"/>
      <c r="D53" s="84"/>
      <c r="E53" s="88"/>
      <c r="F53" s="88"/>
      <c r="G53" s="88"/>
      <c r="H53" s="84"/>
      <c r="I53" s="84"/>
      <c r="J53" s="84"/>
      <c r="K53" s="84"/>
      <c r="N53" s="84"/>
      <c r="O53" s="85"/>
      <c r="P53" s="85"/>
      <c r="Q53" s="85"/>
      <c r="R53" s="84"/>
      <c r="S53" s="84"/>
      <c r="T53" s="84"/>
      <c r="U53" s="84"/>
      <c r="V53" s="84"/>
    </row>
    <row r="54" spans="1:22" s="87" customFormat="1" x14ac:dyDescent="0.25">
      <c r="A54" s="112"/>
      <c r="B54" s="113"/>
      <c r="C54" s="114"/>
      <c r="D54" s="84"/>
      <c r="E54" s="88"/>
      <c r="F54" s="88"/>
      <c r="G54" s="88"/>
      <c r="H54" s="84"/>
      <c r="I54" s="84"/>
      <c r="J54" s="84"/>
      <c r="K54" s="84"/>
      <c r="N54" s="84"/>
      <c r="O54" s="85"/>
      <c r="P54" s="85"/>
      <c r="Q54" s="85"/>
      <c r="R54" s="84"/>
      <c r="S54" s="84"/>
      <c r="T54" s="84"/>
      <c r="U54" s="84"/>
      <c r="V54" s="84"/>
    </row>
    <row r="55" spans="1:22" s="87" customFormat="1" x14ac:dyDescent="0.25">
      <c r="A55" s="112"/>
      <c r="B55" s="113"/>
      <c r="C55" s="114"/>
      <c r="D55" s="84"/>
      <c r="E55" s="88"/>
      <c r="F55" s="88"/>
      <c r="G55" s="88"/>
      <c r="H55" s="84"/>
      <c r="I55" s="84"/>
      <c r="J55" s="84"/>
      <c r="K55" s="84"/>
      <c r="N55" s="84"/>
      <c r="O55" s="85"/>
      <c r="P55" s="85"/>
      <c r="Q55" s="85"/>
      <c r="R55" s="84"/>
      <c r="S55" s="84"/>
      <c r="T55" s="84"/>
      <c r="U55" s="84"/>
      <c r="V55" s="84"/>
    </row>
    <row r="56" spans="1:22" s="87" customFormat="1" x14ac:dyDescent="0.25">
      <c r="A56" s="112"/>
      <c r="B56" s="113"/>
      <c r="C56" s="114"/>
      <c r="D56" s="84"/>
      <c r="E56" s="88"/>
      <c r="F56" s="88"/>
      <c r="G56" s="88"/>
      <c r="H56" s="84"/>
      <c r="I56" s="84"/>
      <c r="J56" s="84"/>
      <c r="K56" s="84"/>
      <c r="N56" s="84"/>
      <c r="O56" s="85"/>
      <c r="P56" s="85"/>
      <c r="Q56" s="85"/>
      <c r="R56" s="84"/>
      <c r="S56" s="84"/>
      <c r="T56" s="84"/>
      <c r="U56" s="84"/>
      <c r="V56" s="84"/>
    </row>
    <row r="57" spans="1:22" s="84" customFormat="1" x14ac:dyDescent="0.25">
      <c r="A57" s="112"/>
      <c r="B57" s="113"/>
      <c r="C57" s="114"/>
      <c r="E57" s="88"/>
      <c r="F57" s="88"/>
      <c r="G57" s="88"/>
      <c r="H57" s="89"/>
      <c r="I57" s="89"/>
      <c r="J57" s="89"/>
      <c r="K57" s="89"/>
      <c r="L57" s="111"/>
      <c r="M57" s="87"/>
      <c r="O57" s="85"/>
      <c r="P57" s="85"/>
      <c r="Q57" s="85"/>
    </row>
    <row r="58" spans="1:22" s="84" customFormat="1" x14ac:dyDescent="0.25">
      <c r="A58" s="112"/>
      <c r="B58" s="113"/>
      <c r="C58" s="114"/>
      <c r="E58" s="88"/>
      <c r="F58" s="88"/>
      <c r="G58" s="88"/>
      <c r="H58" s="89"/>
      <c r="I58" s="89"/>
      <c r="J58" s="89"/>
      <c r="K58" s="89"/>
      <c r="L58" s="111"/>
      <c r="M58" s="87"/>
      <c r="O58" s="85"/>
      <c r="P58" s="85"/>
      <c r="Q58" s="85"/>
    </row>
    <row r="59" spans="1:22" s="84" customFormat="1" x14ac:dyDescent="0.25">
      <c r="A59" s="112"/>
      <c r="B59" s="113"/>
      <c r="C59" s="114"/>
      <c r="E59" s="88"/>
      <c r="F59" s="88"/>
      <c r="G59" s="88"/>
      <c r="H59" s="89"/>
      <c r="I59" s="89"/>
      <c r="J59" s="89"/>
      <c r="K59" s="89"/>
      <c r="L59" s="111"/>
      <c r="M59" s="87"/>
      <c r="O59" s="85"/>
      <c r="P59" s="85"/>
      <c r="Q59" s="85"/>
    </row>
    <row r="60" spans="1:22" s="84" customFormat="1" x14ac:dyDescent="0.25">
      <c r="A60" s="112"/>
      <c r="B60" s="113"/>
      <c r="C60" s="114"/>
      <c r="E60" s="88"/>
      <c r="F60" s="88"/>
      <c r="G60" s="88"/>
      <c r="H60" s="89"/>
      <c r="I60" s="89"/>
      <c r="J60" s="89"/>
      <c r="K60" s="89"/>
      <c r="L60" s="111"/>
      <c r="M60" s="87"/>
      <c r="O60" s="85"/>
      <c r="P60" s="85"/>
      <c r="Q60" s="85"/>
    </row>
    <row r="61" spans="1:22" s="84" customFormat="1" x14ac:dyDescent="0.25">
      <c r="A61" s="112"/>
      <c r="B61" s="113"/>
      <c r="C61" s="114"/>
      <c r="E61" s="88"/>
      <c r="F61" s="88"/>
      <c r="G61" s="88"/>
      <c r="H61" s="89"/>
      <c r="I61" s="89"/>
      <c r="J61" s="89"/>
      <c r="K61" s="89"/>
      <c r="L61" s="111"/>
      <c r="M61" s="87"/>
      <c r="O61" s="85"/>
      <c r="P61" s="85"/>
      <c r="Q61" s="85"/>
    </row>
    <row r="62" spans="1:22" s="84" customFormat="1" x14ac:dyDescent="0.25">
      <c r="A62" s="112"/>
      <c r="B62" s="113"/>
      <c r="C62" s="114"/>
      <c r="E62" s="88"/>
      <c r="F62" s="88"/>
      <c r="G62" s="88"/>
      <c r="H62" s="89"/>
      <c r="I62" s="89"/>
      <c r="J62" s="89"/>
      <c r="K62" s="89"/>
      <c r="L62" s="111"/>
      <c r="M62" s="87"/>
      <c r="O62" s="85"/>
      <c r="P62" s="85"/>
      <c r="Q62" s="85"/>
    </row>
    <row r="63" spans="1:22" s="84" customFormat="1" x14ac:dyDescent="0.25">
      <c r="A63" s="112"/>
      <c r="B63" s="113"/>
      <c r="C63" s="114"/>
      <c r="E63" s="88"/>
      <c r="F63" s="88"/>
      <c r="G63" s="88"/>
      <c r="H63" s="89"/>
      <c r="I63" s="89"/>
      <c r="J63" s="89"/>
      <c r="K63" s="89"/>
      <c r="L63" s="111"/>
      <c r="M63" s="87"/>
      <c r="O63" s="85"/>
      <c r="P63" s="85"/>
      <c r="Q63" s="85"/>
    </row>
    <row r="64" spans="1:22" s="84" customFormat="1" x14ac:dyDescent="0.25">
      <c r="A64" s="112"/>
      <c r="B64" s="113"/>
      <c r="C64" s="114"/>
      <c r="E64" s="88"/>
      <c r="F64" s="88"/>
      <c r="G64" s="88"/>
      <c r="H64" s="89"/>
      <c r="I64" s="89"/>
      <c r="J64" s="89"/>
      <c r="K64" s="89"/>
      <c r="L64" s="111"/>
      <c r="M64" s="87"/>
      <c r="O64" s="85"/>
      <c r="P64" s="85"/>
      <c r="Q64" s="85"/>
    </row>
    <row r="65" spans="1:17" s="84" customFormat="1" x14ac:dyDescent="0.25">
      <c r="A65" s="112"/>
      <c r="B65" s="113"/>
      <c r="C65" s="114"/>
      <c r="E65" s="88"/>
      <c r="F65" s="88"/>
      <c r="G65" s="88"/>
      <c r="H65" s="89"/>
      <c r="I65" s="89"/>
      <c r="J65" s="89"/>
      <c r="K65" s="89"/>
      <c r="L65" s="111"/>
      <c r="M65" s="87"/>
      <c r="O65" s="85"/>
      <c r="P65" s="85"/>
      <c r="Q65" s="85"/>
    </row>
    <row r="66" spans="1:17" s="84" customFormat="1" x14ac:dyDescent="0.25">
      <c r="A66" s="112"/>
      <c r="B66" s="113"/>
      <c r="C66" s="114"/>
      <c r="E66" s="88"/>
      <c r="F66" s="88"/>
      <c r="G66" s="88"/>
      <c r="H66" s="89"/>
      <c r="I66" s="89"/>
      <c r="J66" s="89"/>
      <c r="K66" s="89"/>
      <c r="L66" s="111"/>
      <c r="M66" s="87"/>
      <c r="O66" s="85"/>
      <c r="P66" s="85"/>
      <c r="Q66" s="85"/>
    </row>
    <row r="67" spans="1:17" s="84" customFormat="1" x14ac:dyDescent="0.25">
      <c r="A67" s="112"/>
      <c r="B67" s="113"/>
      <c r="C67" s="114"/>
      <c r="E67" s="88"/>
      <c r="F67" s="88"/>
      <c r="G67" s="88"/>
      <c r="H67" s="89"/>
      <c r="I67" s="89"/>
      <c r="J67" s="89"/>
      <c r="K67" s="89"/>
      <c r="L67" s="111"/>
      <c r="M67" s="87"/>
      <c r="O67" s="85"/>
      <c r="P67" s="85"/>
      <c r="Q67" s="85"/>
    </row>
    <row r="68" spans="1:17" s="84" customFormat="1" x14ac:dyDescent="0.25">
      <c r="A68" s="112"/>
      <c r="B68" s="113"/>
      <c r="C68" s="114"/>
      <c r="E68" s="88"/>
      <c r="F68" s="88"/>
      <c r="G68" s="88"/>
      <c r="H68" s="89"/>
      <c r="I68" s="89"/>
      <c r="J68" s="89"/>
      <c r="K68" s="89"/>
      <c r="L68" s="111"/>
      <c r="M68" s="87"/>
      <c r="O68" s="85"/>
      <c r="P68" s="85"/>
      <c r="Q68" s="85"/>
    </row>
    <row r="69" spans="1:17" s="84" customFormat="1" x14ac:dyDescent="0.25">
      <c r="A69" s="112"/>
      <c r="B69" s="113"/>
      <c r="C69" s="114"/>
      <c r="E69" s="88"/>
      <c r="F69" s="88"/>
      <c r="G69" s="88"/>
      <c r="H69" s="89"/>
      <c r="I69" s="89"/>
      <c r="J69" s="89"/>
      <c r="K69" s="89"/>
      <c r="L69" s="111"/>
      <c r="M69" s="87"/>
      <c r="O69" s="85"/>
      <c r="P69" s="85"/>
      <c r="Q69" s="85"/>
    </row>
    <row r="70" spans="1:17" s="84" customFormat="1" x14ac:dyDescent="0.25">
      <c r="A70" s="112"/>
      <c r="B70" s="113"/>
      <c r="C70" s="114"/>
      <c r="E70" s="88"/>
      <c r="F70" s="88"/>
      <c r="G70" s="88"/>
      <c r="H70" s="89"/>
      <c r="I70" s="89"/>
      <c r="J70" s="89"/>
      <c r="K70" s="89"/>
      <c r="L70" s="111"/>
      <c r="M70" s="87"/>
      <c r="O70" s="85"/>
      <c r="P70" s="85"/>
      <c r="Q70" s="85"/>
    </row>
    <row r="71" spans="1:17" s="84" customFormat="1" x14ac:dyDescent="0.25">
      <c r="A71" s="112"/>
      <c r="B71" s="113"/>
      <c r="C71" s="114"/>
      <c r="E71" s="88"/>
      <c r="F71" s="88"/>
      <c r="G71" s="88"/>
      <c r="H71" s="89"/>
      <c r="I71" s="89"/>
      <c r="J71" s="89"/>
      <c r="K71" s="89"/>
      <c r="L71" s="111"/>
      <c r="M71" s="87"/>
      <c r="O71" s="85"/>
      <c r="P71" s="85"/>
      <c r="Q71" s="85"/>
    </row>
    <row r="72" spans="1:17" s="84" customFormat="1" x14ac:dyDescent="0.25">
      <c r="A72" s="112"/>
      <c r="B72" s="113"/>
      <c r="C72" s="114"/>
      <c r="E72" s="88"/>
      <c r="F72" s="88"/>
      <c r="G72" s="88"/>
      <c r="H72" s="89"/>
      <c r="I72" s="89"/>
      <c r="J72" s="89"/>
      <c r="K72" s="89"/>
      <c r="L72" s="111"/>
      <c r="M72" s="87"/>
      <c r="O72" s="85"/>
      <c r="P72" s="85"/>
      <c r="Q72" s="85"/>
    </row>
    <row r="73" spans="1:17" s="84" customFormat="1" x14ac:dyDescent="0.25">
      <c r="A73" s="112"/>
      <c r="B73" s="113"/>
      <c r="C73" s="114"/>
      <c r="E73" s="88"/>
      <c r="F73" s="88"/>
      <c r="G73" s="88"/>
      <c r="H73" s="89"/>
      <c r="I73" s="89"/>
      <c r="J73" s="89"/>
      <c r="K73" s="89"/>
      <c r="L73" s="111"/>
      <c r="M73" s="87"/>
      <c r="O73" s="85"/>
      <c r="P73" s="85"/>
      <c r="Q73" s="85"/>
    </row>
    <row r="74" spans="1:17" s="84" customFormat="1" x14ac:dyDescent="0.25">
      <c r="A74" s="112"/>
      <c r="B74" s="113"/>
      <c r="C74" s="114"/>
      <c r="E74" s="88"/>
      <c r="F74" s="88"/>
      <c r="G74" s="88"/>
      <c r="H74" s="89"/>
      <c r="I74" s="89"/>
      <c r="J74" s="89"/>
      <c r="K74" s="89"/>
      <c r="L74" s="111"/>
      <c r="M74" s="87"/>
      <c r="O74" s="85"/>
      <c r="P74" s="85"/>
      <c r="Q74" s="85"/>
    </row>
    <row r="75" spans="1:17" s="84" customFormat="1" x14ac:dyDescent="0.25">
      <c r="A75" s="112"/>
      <c r="B75" s="113"/>
      <c r="C75" s="114"/>
      <c r="E75" s="88"/>
      <c r="F75" s="88"/>
      <c r="G75" s="88"/>
      <c r="H75" s="89"/>
      <c r="I75" s="89"/>
      <c r="J75" s="89"/>
      <c r="K75" s="89"/>
      <c r="L75" s="111"/>
      <c r="M75" s="87"/>
      <c r="O75" s="85"/>
      <c r="P75" s="85"/>
      <c r="Q75" s="85"/>
    </row>
    <row r="76" spans="1:17" s="84" customFormat="1" x14ac:dyDescent="0.25">
      <c r="A76" s="112"/>
      <c r="B76" s="113"/>
      <c r="C76" s="114"/>
      <c r="E76" s="88"/>
      <c r="F76" s="88"/>
      <c r="G76" s="88"/>
      <c r="H76" s="89"/>
      <c r="I76" s="89"/>
      <c r="J76" s="89"/>
      <c r="K76" s="89"/>
      <c r="L76" s="111"/>
      <c r="M76" s="87"/>
      <c r="O76" s="85"/>
      <c r="P76" s="85"/>
      <c r="Q76" s="85"/>
    </row>
    <row r="77" spans="1:17" s="84" customFormat="1" x14ac:dyDescent="0.25">
      <c r="A77" s="112"/>
      <c r="B77" s="113"/>
      <c r="C77" s="114"/>
      <c r="E77" s="88"/>
      <c r="F77" s="88"/>
      <c r="G77" s="88"/>
      <c r="H77" s="89"/>
      <c r="I77" s="89"/>
      <c r="J77" s="89"/>
      <c r="K77" s="89"/>
      <c r="L77" s="111"/>
      <c r="M77" s="87"/>
      <c r="O77" s="85"/>
      <c r="P77" s="85"/>
      <c r="Q77" s="85"/>
    </row>
    <row r="78" spans="1:17" s="84" customFormat="1" x14ac:dyDescent="0.25">
      <c r="A78" s="112"/>
      <c r="B78" s="113"/>
      <c r="C78" s="114"/>
      <c r="E78" s="88"/>
      <c r="F78" s="88"/>
      <c r="G78" s="88"/>
      <c r="H78" s="89"/>
      <c r="I78" s="89"/>
      <c r="J78" s="89"/>
      <c r="K78" s="89"/>
      <c r="L78" s="111"/>
      <c r="M78" s="87"/>
      <c r="O78" s="85"/>
      <c r="P78" s="85"/>
      <c r="Q78" s="85"/>
    </row>
    <row r="79" spans="1:17" s="84" customFormat="1" x14ac:dyDescent="0.25">
      <c r="A79" s="112"/>
      <c r="B79" s="113"/>
      <c r="C79" s="114"/>
      <c r="E79" s="88"/>
      <c r="F79" s="88"/>
      <c r="G79" s="88"/>
      <c r="H79" s="89"/>
      <c r="I79" s="89"/>
      <c r="J79" s="89"/>
      <c r="K79" s="89"/>
      <c r="L79" s="111"/>
      <c r="M79" s="87"/>
      <c r="O79" s="85"/>
      <c r="P79" s="85"/>
      <c r="Q79" s="85"/>
    </row>
    <row r="80" spans="1:17" s="84" customFormat="1" x14ac:dyDescent="0.25">
      <c r="A80" s="112"/>
      <c r="B80" s="113"/>
      <c r="C80" s="114"/>
      <c r="E80" s="88"/>
      <c r="F80" s="88"/>
      <c r="G80" s="88"/>
      <c r="H80" s="89"/>
      <c r="I80" s="89"/>
      <c r="J80" s="89"/>
      <c r="K80" s="89"/>
      <c r="L80" s="111"/>
      <c r="M80" s="87"/>
      <c r="O80" s="85"/>
      <c r="P80" s="85"/>
      <c r="Q80" s="85"/>
    </row>
    <row r="81" spans="1:17" s="84" customFormat="1" x14ac:dyDescent="0.25">
      <c r="A81" s="112"/>
      <c r="B81" s="113"/>
      <c r="C81" s="114"/>
      <c r="E81" s="88"/>
      <c r="F81" s="88"/>
      <c r="G81" s="88"/>
      <c r="H81" s="89"/>
      <c r="I81" s="89"/>
      <c r="J81" s="89"/>
      <c r="K81" s="89"/>
      <c r="L81" s="111"/>
      <c r="M81" s="87"/>
      <c r="O81" s="85"/>
      <c r="P81" s="85"/>
      <c r="Q81" s="85"/>
    </row>
    <row r="82" spans="1:17" s="84" customFormat="1" x14ac:dyDescent="0.25">
      <c r="A82" s="112"/>
      <c r="B82" s="113"/>
      <c r="C82" s="114"/>
      <c r="E82" s="88"/>
      <c r="F82" s="88"/>
      <c r="G82" s="88"/>
      <c r="H82" s="89"/>
      <c r="I82" s="89"/>
      <c r="J82" s="89"/>
      <c r="K82" s="89"/>
      <c r="L82" s="111"/>
      <c r="M82" s="87"/>
      <c r="O82" s="85"/>
      <c r="P82" s="85"/>
      <c r="Q82" s="85"/>
    </row>
    <row r="83" spans="1:17" s="84" customFormat="1" x14ac:dyDescent="0.25">
      <c r="A83" s="112"/>
      <c r="B83" s="113"/>
      <c r="C83" s="114"/>
      <c r="E83" s="88"/>
      <c r="F83" s="88"/>
      <c r="G83" s="88"/>
      <c r="H83" s="89"/>
      <c r="I83" s="89"/>
      <c r="J83" s="89"/>
      <c r="K83" s="89"/>
      <c r="L83" s="111"/>
      <c r="M83" s="87"/>
      <c r="O83" s="85"/>
      <c r="P83" s="85"/>
      <c r="Q83" s="85"/>
    </row>
    <row r="84" spans="1:17" s="84" customFormat="1" x14ac:dyDescent="0.25">
      <c r="A84" s="112"/>
      <c r="B84" s="113"/>
      <c r="C84" s="114"/>
      <c r="E84" s="88"/>
      <c r="F84" s="88"/>
      <c r="G84" s="88"/>
      <c r="H84" s="89"/>
      <c r="I84" s="89"/>
      <c r="J84" s="89"/>
      <c r="K84" s="89"/>
      <c r="L84" s="111"/>
      <c r="M84" s="87"/>
      <c r="O84" s="85"/>
      <c r="P84" s="85"/>
      <c r="Q84" s="85"/>
    </row>
    <row r="85" spans="1:17" s="84" customFormat="1" x14ac:dyDescent="0.25">
      <c r="A85" s="112"/>
      <c r="B85" s="113"/>
      <c r="C85" s="114"/>
      <c r="E85" s="88"/>
      <c r="F85" s="88"/>
      <c r="G85" s="88"/>
      <c r="H85" s="89"/>
      <c r="I85" s="89"/>
      <c r="J85" s="89"/>
      <c r="K85" s="89"/>
      <c r="L85" s="111"/>
      <c r="M85" s="87"/>
      <c r="O85" s="85"/>
      <c r="P85" s="85"/>
      <c r="Q85" s="85"/>
    </row>
    <row r="86" spans="1:17" s="84" customFormat="1" x14ac:dyDescent="0.25">
      <c r="A86" s="112"/>
      <c r="B86" s="113"/>
      <c r="C86" s="114"/>
      <c r="E86" s="88"/>
      <c r="F86" s="88"/>
      <c r="G86" s="88"/>
      <c r="H86" s="89"/>
      <c r="I86" s="89"/>
      <c r="J86" s="89"/>
      <c r="K86" s="89"/>
      <c r="L86" s="111"/>
      <c r="M86" s="87"/>
      <c r="O86" s="85"/>
      <c r="P86" s="85"/>
      <c r="Q86" s="85"/>
    </row>
    <row r="87" spans="1:17" s="84" customFormat="1" x14ac:dyDescent="0.25">
      <c r="A87" s="112"/>
      <c r="B87" s="113"/>
      <c r="C87" s="114"/>
      <c r="E87" s="88"/>
      <c r="F87" s="88"/>
      <c r="G87" s="88"/>
      <c r="H87" s="89"/>
      <c r="I87" s="89"/>
      <c r="J87" s="89"/>
      <c r="K87" s="89"/>
      <c r="L87" s="111"/>
      <c r="M87" s="87"/>
      <c r="O87" s="85"/>
      <c r="P87" s="85"/>
      <c r="Q87" s="85"/>
    </row>
    <row r="88" spans="1:17" s="84" customFormat="1" x14ac:dyDescent="0.25">
      <c r="A88" s="112"/>
      <c r="B88" s="113"/>
      <c r="C88" s="114"/>
      <c r="E88" s="88"/>
      <c r="F88" s="88"/>
      <c r="G88" s="88"/>
      <c r="H88" s="89"/>
      <c r="I88" s="89"/>
      <c r="J88" s="89"/>
      <c r="K88" s="89"/>
      <c r="L88" s="111"/>
      <c r="M88" s="87"/>
      <c r="O88" s="85"/>
      <c r="P88" s="85"/>
      <c r="Q88" s="85"/>
    </row>
    <row r="89" spans="1:17" s="84" customFormat="1" x14ac:dyDescent="0.25">
      <c r="A89" s="112"/>
      <c r="B89" s="113"/>
      <c r="C89" s="114"/>
      <c r="E89" s="88"/>
      <c r="F89" s="88"/>
      <c r="G89" s="88"/>
      <c r="H89" s="89"/>
      <c r="I89" s="89"/>
      <c r="J89" s="89"/>
      <c r="K89" s="89"/>
      <c r="L89" s="111"/>
      <c r="M89" s="87"/>
      <c r="O89" s="85"/>
      <c r="P89" s="85"/>
      <c r="Q89" s="85"/>
    </row>
    <row r="90" spans="1:17" s="84" customFormat="1" x14ac:dyDescent="0.25">
      <c r="A90" s="112"/>
      <c r="B90" s="113"/>
      <c r="C90" s="114"/>
      <c r="E90" s="88"/>
      <c r="F90" s="88"/>
      <c r="G90" s="88"/>
      <c r="H90" s="89"/>
      <c r="I90" s="89"/>
      <c r="J90" s="89"/>
      <c r="K90" s="89"/>
      <c r="L90" s="111"/>
      <c r="M90" s="87"/>
      <c r="O90" s="85"/>
      <c r="P90" s="85"/>
      <c r="Q90" s="85"/>
    </row>
    <row r="91" spans="1:17" s="84" customFormat="1" x14ac:dyDescent="0.25">
      <c r="A91" s="112"/>
      <c r="B91" s="113"/>
      <c r="C91" s="114"/>
      <c r="E91" s="88"/>
      <c r="F91" s="88"/>
      <c r="G91" s="88"/>
      <c r="H91" s="89"/>
      <c r="I91" s="89"/>
      <c r="J91" s="89"/>
      <c r="K91" s="89"/>
      <c r="L91" s="111"/>
      <c r="M91" s="87"/>
      <c r="O91" s="85"/>
      <c r="P91" s="85"/>
      <c r="Q91" s="85"/>
    </row>
    <row r="92" spans="1:17" s="84" customFormat="1" x14ac:dyDescent="0.25">
      <c r="A92" s="112"/>
      <c r="B92" s="113"/>
      <c r="C92" s="114"/>
      <c r="E92" s="88"/>
      <c r="F92" s="88"/>
      <c r="G92" s="88"/>
      <c r="H92" s="89"/>
      <c r="I92" s="89"/>
      <c r="J92" s="89"/>
      <c r="K92" s="89"/>
      <c r="L92" s="111"/>
      <c r="M92" s="87"/>
      <c r="O92" s="85"/>
      <c r="P92" s="85"/>
      <c r="Q92" s="85"/>
    </row>
    <row r="93" spans="1:17" s="84" customFormat="1" x14ac:dyDescent="0.25">
      <c r="A93" s="112"/>
      <c r="B93" s="113"/>
      <c r="C93" s="114"/>
      <c r="E93" s="88"/>
      <c r="F93" s="88"/>
      <c r="G93" s="88"/>
      <c r="H93" s="89"/>
      <c r="I93" s="89"/>
      <c r="J93" s="89"/>
      <c r="K93" s="89"/>
      <c r="L93" s="111"/>
      <c r="M93" s="87"/>
      <c r="O93" s="85"/>
      <c r="P93" s="85"/>
      <c r="Q93" s="85"/>
    </row>
    <row r="94" spans="1:17" s="84" customFormat="1" x14ac:dyDescent="0.25">
      <c r="A94" s="112"/>
      <c r="B94" s="113"/>
      <c r="C94" s="114"/>
      <c r="E94" s="88"/>
      <c r="F94" s="88"/>
      <c r="G94" s="88"/>
      <c r="H94" s="89"/>
      <c r="I94" s="89"/>
      <c r="J94" s="89"/>
      <c r="K94" s="89"/>
      <c r="L94" s="111"/>
      <c r="M94" s="87"/>
      <c r="O94" s="85"/>
      <c r="P94" s="85"/>
      <c r="Q94" s="85"/>
    </row>
    <row r="95" spans="1:17" s="84" customFormat="1" x14ac:dyDescent="0.25">
      <c r="A95" s="112"/>
      <c r="B95" s="113"/>
      <c r="C95" s="114"/>
      <c r="E95" s="88"/>
      <c r="F95" s="88"/>
      <c r="G95" s="88"/>
      <c r="H95" s="89"/>
      <c r="I95" s="89"/>
      <c r="J95" s="89"/>
      <c r="K95" s="89"/>
      <c r="L95" s="111"/>
      <c r="M95" s="87"/>
      <c r="O95" s="85"/>
      <c r="P95" s="85"/>
      <c r="Q95" s="85"/>
    </row>
    <row r="96" spans="1:17" s="84" customFormat="1" x14ac:dyDescent="0.25">
      <c r="A96" s="112"/>
      <c r="B96" s="113"/>
      <c r="C96" s="114"/>
      <c r="E96" s="88"/>
      <c r="F96" s="88"/>
      <c r="G96" s="88"/>
      <c r="H96" s="89"/>
      <c r="I96" s="89"/>
      <c r="J96" s="89"/>
      <c r="K96" s="89"/>
      <c r="L96" s="111"/>
      <c r="M96" s="87"/>
      <c r="O96" s="85"/>
      <c r="P96" s="85"/>
      <c r="Q96" s="85"/>
    </row>
    <row r="97" spans="1:17" s="84" customFormat="1" x14ac:dyDescent="0.25">
      <c r="A97" s="112"/>
      <c r="B97" s="113"/>
      <c r="C97" s="114"/>
      <c r="E97" s="88"/>
      <c r="F97" s="88"/>
      <c r="G97" s="88"/>
      <c r="H97" s="89"/>
      <c r="I97" s="89"/>
      <c r="J97" s="89"/>
      <c r="K97" s="89"/>
      <c r="L97" s="111"/>
      <c r="M97" s="87"/>
      <c r="O97" s="85"/>
      <c r="P97" s="85"/>
      <c r="Q97" s="85"/>
    </row>
    <row r="98" spans="1:17" s="84" customFormat="1" x14ac:dyDescent="0.25">
      <c r="A98" s="112"/>
      <c r="B98" s="113"/>
      <c r="C98" s="114"/>
      <c r="E98" s="88"/>
      <c r="F98" s="88"/>
      <c r="G98" s="88"/>
      <c r="H98" s="89"/>
      <c r="I98" s="89"/>
      <c r="J98" s="89"/>
      <c r="K98" s="89"/>
      <c r="L98" s="111"/>
      <c r="M98" s="87"/>
      <c r="O98" s="85"/>
      <c r="P98" s="85"/>
      <c r="Q98" s="85"/>
    </row>
    <row r="99" spans="1:17" s="84" customFormat="1" x14ac:dyDescent="0.25">
      <c r="A99" s="112"/>
      <c r="B99" s="113"/>
      <c r="C99" s="114"/>
      <c r="E99" s="88"/>
      <c r="F99" s="88"/>
      <c r="G99" s="88"/>
      <c r="H99" s="89"/>
      <c r="I99" s="89"/>
      <c r="J99" s="89"/>
      <c r="K99" s="89"/>
      <c r="L99" s="111"/>
      <c r="M99" s="87"/>
      <c r="O99" s="85"/>
      <c r="P99" s="85"/>
      <c r="Q99" s="85"/>
    </row>
    <row r="100" spans="1:17" s="84" customFormat="1" x14ac:dyDescent="0.25">
      <c r="A100" s="112"/>
      <c r="B100" s="113"/>
      <c r="C100" s="114"/>
      <c r="E100" s="88"/>
      <c r="F100" s="88"/>
      <c r="G100" s="88"/>
      <c r="H100" s="89"/>
      <c r="I100" s="89"/>
      <c r="J100" s="89"/>
      <c r="K100" s="89"/>
      <c r="L100" s="111"/>
      <c r="M100" s="87"/>
      <c r="O100" s="85"/>
      <c r="P100" s="85"/>
      <c r="Q100" s="85"/>
    </row>
    <row r="101" spans="1:17" s="84" customFormat="1" x14ac:dyDescent="0.25">
      <c r="A101" s="112"/>
      <c r="B101" s="113"/>
      <c r="C101" s="114"/>
      <c r="E101" s="88"/>
      <c r="F101" s="88"/>
      <c r="G101" s="88"/>
      <c r="H101" s="89"/>
      <c r="I101" s="89"/>
      <c r="J101" s="89"/>
      <c r="K101" s="89"/>
      <c r="L101" s="111"/>
      <c r="M101" s="87"/>
      <c r="O101" s="85"/>
      <c r="P101" s="85"/>
      <c r="Q101" s="85"/>
    </row>
    <row r="102" spans="1:17" s="84" customFormat="1" x14ac:dyDescent="0.25">
      <c r="A102" s="112"/>
      <c r="B102" s="113"/>
      <c r="C102" s="114"/>
      <c r="E102" s="88"/>
      <c r="F102" s="88"/>
      <c r="G102" s="88"/>
      <c r="H102" s="89"/>
      <c r="I102" s="89"/>
      <c r="J102" s="89"/>
      <c r="K102" s="89"/>
      <c r="L102" s="111"/>
      <c r="M102" s="87"/>
      <c r="O102" s="85"/>
      <c r="P102" s="85"/>
      <c r="Q102" s="85"/>
    </row>
    <row r="103" spans="1:17" s="84" customFormat="1" x14ac:dyDescent="0.25">
      <c r="A103" s="112"/>
      <c r="B103" s="113"/>
      <c r="C103" s="114"/>
      <c r="E103" s="88"/>
      <c r="F103" s="88"/>
      <c r="G103" s="88"/>
      <c r="H103" s="89"/>
      <c r="I103" s="89"/>
      <c r="J103" s="89"/>
      <c r="K103" s="89"/>
      <c r="L103" s="111"/>
      <c r="M103" s="87"/>
      <c r="O103" s="85"/>
      <c r="P103" s="85"/>
      <c r="Q103" s="85"/>
    </row>
    <row r="104" spans="1:17" s="84" customFormat="1" x14ac:dyDescent="0.25">
      <c r="A104" s="112"/>
      <c r="B104" s="113"/>
      <c r="C104" s="114"/>
      <c r="E104" s="88"/>
      <c r="F104" s="88"/>
      <c r="G104" s="88"/>
      <c r="H104" s="89"/>
      <c r="I104" s="89"/>
      <c r="J104" s="89"/>
      <c r="K104" s="89"/>
      <c r="L104" s="111"/>
      <c r="M104" s="87"/>
      <c r="O104" s="85"/>
      <c r="P104" s="85"/>
      <c r="Q104" s="85"/>
    </row>
    <row r="105" spans="1:17" s="84" customFormat="1" x14ac:dyDescent="0.25">
      <c r="A105" s="112"/>
      <c r="B105" s="113"/>
      <c r="C105" s="114"/>
      <c r="E105" s="88"/>
      <c r="F105" s="88"/>
      <c r="G105" s="88"/>
      <c r="H105" s="89"/>
      <c r="I105" s="89"/>
      <c r="J105" s="89"/>
      <c r="K105" s="89"/>
      <c r="L105" s="111"/>
      <c r="M105" s="87"/>
      <c r="O105" s="85"/>
      <c r="P105" s="85"/>
      <c r="Q105" s="85"/>
    </row>
    <row r="106" spans="1:17" s="84" customFormat="1" x14ac:dyDescent="0.25">
      <c r="A106" s="112"/>
      <c r="B106" s="113"/>
      <c r="C106" s="114"/>
      <c r="E106" s="88"/>
      <c r="F106" s="88"/>
      <c r="G106" s="88"/>
      <c r="H106" s="89"/>
      <c r="I106" s="89"/>
      <c r="J106" s="89"/>
      <c r="K106" s="89"/>
      <c r="L106" s="111"/>
      <c r="M106" s="87"/>
      <c r="O106" s="85"/>
      <c r="P106" s="85"/>
      <c r="Q106" s="85"/>
    </row>
    <row r="107" spans="1:17" s="84" customFormat="1" x14ac:dyDescent="0.25">
      <c r="A107" s="112"/>
      <c r="B107" s="113"/>
      <c r="C107" s="114"/>
      <c r="E107" s="88"/>
      <c r="F107" s="88"/>
      <c r="G107" s="88"/>
      <c r="H107" s="89"/>
      <c r="I107" s="89"/>
      <c r="J107" s="89"/>
      <c r="K107" s="89"/>
      <c r="L107" s="111"/>
      <c r="M107" s="87"/>
      <c r="O107" s="85"/>
      <c r="P107" s="85"/>
      <c r="Q107" s="85"/>
    </row>
    <row r="108" spans="1:17" s="84" customFormat="1" x14ac:dyDescent="0.25">
      <c r="A108" s="112"/>
      <c r="B108" s="113"/>
      <c r="C108" s="114"/>
      <c r="E108" s="88"/>
      <c r="F108" s="88"/>
      <c r="G108" s="88"/>
      <c r="H108" s="89"/>
      <c r="I108" s="89"/>
      <c r="J108" s="89"/>
      <c r="K108" s="89"/>
      <c r="L108" s="111"/>
      <c r="M108" s="87"/>
      <c r="O108" s="85"/>
      <c r="P108" s="85"/>
      <c r="Q108" s="85"/>
    </row>
    <row r="109" spans="1:17" s="84" customFormat="1" x14ac:dyDescent="0.25">
      <c r="A109" s="112"/>
      <c r="B109" s="113"/>
      <c r="C109" s="114"/>
      <c r="E109" s="88"/>
      <c r="F109" s="88"/>
      <c r="G109" s="88"/>
      <c r="H109" s="89"/>
      <c r="I109" s="89"/>
      <c r="J109" s="89"/>
      <c r="K109" s="89"/>
      <c r="L109" s="111"/>
      <c r="M109" s="87"/>
      <c r="O109" s="85"/>
      <c r="P109" s="85"/>
      <c r="Q109" s="85"/>
    </row>
    <row r="110" spans="1:17" s="84" customFormat="1" x14ac:dyDescent="0.25">
      <c r="A110" s="112"/>
      <c r="B110" s="113"/>
      <c r="C110" s="114"/>
      <c r="E110" s="88"/>
      <c r="F110" s="88"/>
      <c r="G110" s="88"/>
      <c r="H110" s="89"/>
      <c r="I110" s="89"/>
      <c r="J110" s="89"/>
      <c r="K110" s="89"/>
      <c r="L110" s="111"/>
      <c r="M110" s="87"/>
      <c r="O110" s="85"/>
      <c r="P110" s="85"/>
      <c r="Q110" s="85"/>
    </row>
    <row r="111" spans="1:17" s="84" customFormat="1" x14ac:dyDescent="0.25">
      <c r="A111" s="112"/>
      <c r="B111" s="113"/>
      <c r="C111" s="114"/>
      <c r="E111" s="88"/>
      <c r="F111" s="88"/>
      <c r="G111" s="88"/>
      <c r="H111" s="89"/>
      <c r="I111" s="89"/>
      <c r="J111" s="89"/>
      <c r="K111" s="89"/>
      <c r="L111" s="111"/>
      <c r="M111" s="87"/>
      <c r="O111" s="85"/>
      <c r="P111" s="85"/>
      <c r="Q111" s="85"/>
    </row>
    <row r="112" spans="1:17" s="84" customFormat="1" x14ac:dyDescent="0.25">
      <c r="A112" s="112"/>
      <c r="B112" s="113"/>
      <c r="C112" s="114"/>
      <c r="E112" s="88"/>
      <c r="F112" s="88"/>
      <c r="G112" s="88"/>
      <c r="H112" s="89"/>
      <c r="I112" s="89"/>
      <c r="J112" s="89"/>
      <c r="K112" s="89"/>
      <c r="L112" s="111"/>
      <c r="M112" s="87"/>
      <c r="O112" s="85"/>
      <c r="P112" s="85"/>
      <c r="Q112" s="85"/>
    </row>
    <row r="113" spans="1:17" s="84" customFormat="1" x14ac:dyDescent="0.25">
      <c r="A113" s="112"/>
      <c r="B113" s="113"/>
      <c r="C113" s="114"/>
      <c r="E113" s="88"/>
      <c r="F113" s="88"/>
      <c r="G113" s="88"/>
      <c r="H113" s="89"/>
      <c r="I113" s="89"/>
      <c r="J113" s="89"/>
      <c r="K113" s="89"/>
      <c r="L113" s="111"/>
      <c r="M113" s="87"/>
      <c r="O113" s="85"/>
      <c r="P113" s="85"/>
      <c r="Q113" s="85"/>
    </row>
    <row r="114" spans="1:17" s="84" customFormat="1" x14ac:dyDescent="0.25">
      <c r="A114" s="112"/>
      <c r="B114" s="113"/>
      <c r="C114" s="114"/>
      <c r="E114" s="88"/>
      <c r="F114" s="88"/>
      <c r="G114" s="88"/>
      <c r="H114" s="89"/>
      <c r="I114" s="89"/>
      <c r="J114" s="89"/>
      <c r="K114" s="89"/>
      <c r="L114" s="111"/>
      <c r="M114" s="87"/>
      <c r="O114" s="85"/>
      <c r="P114" s="85"/>
      <c r="Q114" s="85"/>
    </row>
    <row r="115" spans="1:17" s="84" customFormat="1" x14ac:dyDescent="0.25">
      <c r="A115" s="112"/>
      <c r="B115" s="113"/>
      <c r="C115" s="114"/>
      <c r="E115" s="88"/>
      <c r="F115" s="88"/>
      <c r="G115" s="88"/>
      <c r="H115" s="89"/>
      <c r="I115" s="89"/>
      <c r="J115" s="89"/>
      <c r="K115" s="89"/>
      <c r="L115" s="111"/>
      <c r="M115" s="87"/>
      <c r="O115" s="85"/>
      <c r="P115" s="85"/>
      <c r="Q115" s="85"/>
    </row>
    <row r="116" spans="1:17" s="84" customFormat="1" x14ac:dyDescent="0.25">
      <c r="A116" s="112"/>
      <c r="B116" s="113"/>
      <c r="C116" s="114"/>
      <c r="E116" s="88"/>
      <c r="F116" s="88"/>
      <c r="G116" s="88"/>
      <c r="H116" s="89"/>
      <c r="I116" s="89"/>
      <c r="J116" s="89"/>
      <c r="K116" s="89"/>
      <c r="L116" s="111"/>
      <c r="M116" s="87"/>
      <c r="O116" s="85"/>
      <c r="P116" s="85"/>
      <c r="Q116" s="85"/>
    </row>
    <row r="117" spans="1:17" s="84" customFormat="1" x14ac:dyDescent="0.25">
      <c r="A117" s="112"/>
      <c r="B117" s="113"/>
      <c r="C117" s="114"/>
      <c r="E117" s="88"/>
      <c r="F117" s="88"/>
      <c r="G117" s="88"/>
      <c r="H117" s="89"/>
      <c r="I117" s="89"/>
      <c r="J117" s="89"/>
      <c r="K117" s="89"/>
      <c r="L117" s="111"/>
      <c r="M117" s="87"/>
      <c r="O117" s="85"/>
      <c r="P117" s="85"/>
      <c r="Q117" s="85"/>
    </row>
    <row r="118" spans="1:17" s="84" customFormat="1" x14ac:dyDescent="0.25">
      <c r="A118" s="112"/>
      <c r="B118" s="113"/>
      <c r="C118" s="114"/>
      <c r="E118" s="88"/>
      <c r="F118" s="88"/>
      <c r="G118" s="88"/>
      <c r="H118" s="89"/>
      <c r="I118" s="89"/>
      <c r="J118" s="89"/>
      <c r="K118" s="89"/>
      <c r="L118" s="111"/>
      <c r="M118" s="87"/>
      <c r="O118" s="85"/>
      <c r="P118" s="85"/>
      <c r="Q118" s="85"/>
    </row>
    <row r="119" spans="1:17" s="84" customFormat="1" x14ac:dyDescent="0.25">
      <c r="A119" s="112"/>
      <c r="B119" s="113"/>
      <c r="C119" s="114"/>
      <c r="E119" s="88"/>
      <c r="F119" s="88"/>
      <c r="G119" s="88"/>
      <c r="H119" s="89"/>
      <c r="I119" s="89"/>
      <c r="J119" s="89"/>
      <c r="K119" s="89"/>
      <c r="L119" s="111"/>
      <c r="M119" s="87"/>
      <c r="O119" s="85"/>
      <c r="P119" s="85"/>
      <c r="Q119" s="85"/>
    </row>
    <row r="120" spans="1:17" s="84" customFormat="1" x14ac:dyDescent="0.25">
      <c r="A120" s="112"/>
      <c r="B120" s="113"/>
      <c r="C120" s="114"/>
      <c r="E120" s="88"/>
      <c r="F120" s="88"/>
      <c r="G120" s="88"/>
      <c r="H120" s="89"/>
      <c r="I120" s="89"/>
      <c r="J120" s="89"/>
      <c r="K120" s="89"/>
      <c r="L120" s="111"/>
      <c r="M120" s="87"/>
      <c r="O120" s="85"/>
      <c r="P120" s="85"/>
      <c r="Q120" s="85"/>
    </row>
    <row r="121" spans="1:17" s="84" customFormat="1" x14ac:dyDescent="0.25">
      <c r="A121" s="112"/>
      <c r="B121" s="113"/>
      <c r="C121" s="114"/>
      <c r="E121" s="88"/>
      <c r="F121" s="88"/>
      <c r="G121" s="88"/>
      <c r="H121" s="89"/>
      <c r="I121" s="89"/>
      <c r="J121" s="89"/>
      <c r="K121" s="89"/>
      <c r="L121" s="111"/>
      <c r="M121" s="87"/>
      <c r="O121" s="85"/>
      <c r="P121" s="85"/>
      <c r="Q121" s="85"/>
    </row>
    <row r="122" spans="1:17" s="84" customFormat="1" x14ac:dyDescent="0.25">
      <c r="A122" s="112"/>
      <c r="B122" s="113"/>
      <c r="C122" s="114"/>
      <c r="E122" s="88"/>
      <c r="F122" s="88"/>
      <c r="G122" s="88"/>
      <c r="H122" s="89"/>
      <c r="I122" s="89"/>
      <c r="J122" s="89"/>
      <c r="K122" s="89"/>
      <c r="L122" s="111"/>
      <c r="M122" s="87"/>
      <c r="O122" s="85"/>
      <c r="P122" s="85"/>
      <c r="Q122" s="85"/>
    </row>
    <row r="123" spans="1:17" s="84" customFormat="1" x14ac:dyDescent="0.25">
      <c r="A123" s="112"/>
      <c r="B123" s="113"/>
      <c r="C123" s="114"/>
      <c r="E123" s="88"/>
      <c r="F123" s="88"/>
      <c r="G123" s="88"/>
      <c r="H123" s="89"/>
      <c r="I123" s="89"/>
      <c r="J123" s="89"/>
      <c r="K123" s="89"/>
      <c r="L123" s="111"/>
      <c r="M123" s="87"/>
      <c r="O123" s="85"/>
      <c r="P123" s="85"/>
      <c r="Q123" s="85"/>
    </row>
    <row r="124" spans="1:17" s="84" customFormat="1" x14ac:dyDescent="0.25">
      <c r="A124" s="112"/>
      <c r="B124" s="113"/>
      <c r="C124" s="114"/>
      <c r="E124" s="88"/>
      <c r="F124" s="88"/>
      <c r="G124" s="88"/>
      <c r="H124" s="89"/>
      <c r="I124" s="89"/>
      <c r="J124" s="89"/>
      <c r="K124" s="89"/>
      <c r="L124" s="111"/>
      <c r="M124" s="87"/>
      <c r="O124" s="85"/>
      <c r="P124" s="85"/>
      <c r="Q124" s="85"/>
    </row>
    <row r="125" spans="1:17" s="84" customFormat="1" x14ac:dyDescent="0.25">
      <c r="A125" s="112"/>
      <c r="B125" s="113"/>
      <c r="C125" s="114"/>
      <c r="E125" s="88"/>
      <c r="F125" s="88"/>
      <c r="G125" s="88"/>
      <c r="H125" s="89"/>
      <c r="I125" s="89"/>
      <c r="J125" s="89"/>
      <c r="K125" s="89"/>
      <c r="L125" s="111"/>
      <c r="M125" s="87"/>
      <c r="O125" s="85"/>
      <c r="P125" s="85"/>
      <c r="Q125" s="85"/>
    </row>
    <row r="126" spans="1:17" s="84" customFormat="1" x14ac:dyDescent="0.25">
      <c r="A126" s="112"/>
      <c r="B126" s="113"/>
      <c r="C126" s="114"/>
      <c r="E126" s="88"/>
      <c r="F126" s="88"/>
      <c r="G126" s="88"/>
      <c r="H126" s="89"/>
      <c r="I126" s="89"/>
      <c r="J126" s="89"/>
      <c r="K126" s="89"/>
      <c r="L126" s="111"/>
      <c r="M126" s="87"/>
      <c r="O126" s="85"/>
      <c r="P126" s="85"/>
      <c r="Q126" s="85"/>
    </row>
    <row r="127" spans="1:17" s="84" customFormat="1" x14ac:dyDescent="0.25">
      <c r="A127" s="112"/>
      <c r="B127" s="113"/>
      <c r="C127" s="114"/>
      <c r="E127" s="88"/>
      <c r="F127" s="88"/>
      <c r="G127" s="88"/>
      <c r="H127" s="89"/>
      <c r="I127" s="89"/>
      <c r="J127" s="89"/>
      <c r="K127" s="89"/>
      <c r="L127" s="111"/>
      <c r="M127" s="87"/>
      <c r="O127" s="85"/>
      <c r="P127" s="85"/>
      <c r="Q127" s="85"/>
    </row>
    <row r="128" spans="1:17" s="84" customFormat="1" x14ac:dyDescent="0.25">
      <c r="A128" s="112"/>
      <c r="B128" s="113"/>
      <c r="C128" s="114"/>
      <c r="E128" s="88"/>
      <c r="F128" s="88"/>
      <c r="G128" s="88"/>
      <c r="H128" s="89"/>
      <c r="I128" s="89"/>
      <c r="J128" s="89"/>
      <c r="K128" s="89"/>
      <c r="L128" s="111"/>
      <c r="M128" s="87"/>
      <c r="O128" s="85"/>
      <c r="P128" s="85"/>
      <c r="Q128" s="85"/>
    </row>
    <row r="129" spans="1:17" s="84" customFormat="1" x14ac:dyDescent="0.25">
      <c r="A129" s="112"/>
      <c r="B129" s="113"/>
      <c r="C129" s="114"/>
      <c r="E129" s="88"/>
      <c r="F129" s="88"/>
      <c r="G129" s="88"/>
      <c r="H129" s="89"/>
      <c r="I129" s="89"/>
      <c r="J129" s="89"/>
      <c r="K129" s="89"/>
      <c r="L129" s="111"/>
      <c r="M129" s="87"/>
      <c r="O129" s="85"/>
      <c r="P129" s="85"/>
      <c r="Q129" s="85"/>
    </row>
    <row r="130" spans="1:17" s="84" customFormat="1" x14ac:dyDescent="0.25">
      <c r="A130" s="112"/>
      <c r="B130" s="113"/>
      <c r="C130" s="114"/>
      <c r="E130" s="88"/>
      <c r="F130" s="88"/>
      <c r="G130" s="88"/>
      <c r="H130" s="89"/>
      <c r="I130" s="89"/>
      <c r="J130" s="89"/>
      <c r="K130" s="89"/>
      <c r="L130" s="111"/>
      <c r="M130" s="87"/>
      <c r="O130" s="85"/>
      <c r="P130" s="85"/>
      <c r="Q130" s="85"/>
    </row>
    <row r="131" spans="1:17" s="84" customFormat="1" x14ac:dyDescent="0.25">
      <c r="A131" s="112"/>
      <c r="B131" s="113"/>
      <c r="C131" s="114"/>
      <c r="E131" s="88"/>
      <c r="F131" s="88"/>
      <c r="G131" s="88"/>
      <c r="H131" s="89"/>
      <c r="I131" s="89"/>
      <c r="J131" s="89"/>
      <c r="K131" s="89"/>
      <c r="L131" s="111"/>
      <c r="M131" s="87"/>
      <c r="O131" s="85"/>
      <c r="P131" s="85"/>
      <c r="Q131" s="85"/>
    </row>
    <row r="132" spans="1:17" s="84" customFormat="1" x14ac:dyDescent="0.25">
      <c r="A132" s="112"/>
      <c r="B132" s="113"/>
      <c r="C132" s="114"/>
      <c r="E132" s="88"/>
      <c r="F132" s="88"/>
      <c r="G132" s="88"/>
      <c r="H132" s="89"/>
      <c r="I132" s="89"/>
      <c r="J132" s="89"/>
      <c r="K132" s="89"/>
      <c r="L132" s="111"/>
      <c r="M132" s="87"/>
      <c r="O132" s="85"/>
      <c r="P132" s="85"/>
      <c r="Q132" s="85"/>
    </row>
    <row r="133" spans="1:17" s="84" customFormat="1" x14ac:dyDescent="0.25">
      <c r="A133" s="112"/>
      <c r="B133" s="113"/>
      <c r="C133" s="114"/>
      <c r="E133" s="88"/>
      <c r="F133" s="88"/>
      <c r="G133" s="88"/>
      <c r="H133" s="89"/>
      <c r="I133" s="89"/>
      <c r="J133" s="89"/>
      <c r="K133" s="89"/>
      <c r="L133" s="111"/>
      <c r="M133" s="87"/>
      <c r="O133" s="85"/>
      <c r="P133" s="85"/>
      <c r="Q133" s="85"/>
    </row>
    <row r="134" spans="1:17" s="84" customFormat="1" x14ac:dyDescent="0.25">
      <c r="A134" s="112"/>
      <c r="B134" s="113"/>
      <c r="C134" s="114"/>
      <c r="E134" s="88"/>
      <c r="F134" s="88"/>
      <c r="G134" s="88"/>
      <c r="H134" s="89"/>
      <c r="I134" s="89"/>
      <c r="J134" s="89"/>
      <c r="K134" s="89"/>
      <c r="L134" s="111"/>
      <c r="M134" s="87"/>
      <c r="O134" s="85"/>
      <c r="P134" s="85"/>
      <c r="Q134" s="85"/>
    </row>
    <row r="135" spans="1:17" s="84" customFormat="1" x14ac:dyDescent="0.25">
      <c r="A135" s="112"/>
      <c r="B135" s="113"/>
      <c r="C135" s="114"/>
      <c r="E135" s="88"/>
      <c r="F135" s="88"/>
      <c r="G135" s="88"/>
      <c r="H135" s="89"/>
      <c r="I135" s="89"/>
      <c r="J135" s="89"/>
      <c r="K135" s="89"/>
      <c r="L135" s="111"/>
      <c r="M135" s="87"/>
      <c r="O135" s="85"/>
      <c r="P135" s="85"/>
      <c r="Q135" s="85"/>
    </row>
    <row r="136" spans="1:17" s="84" customFormat="1" x14ac:dyDescent="0.25">
      <c r="A136" s="112"/>
      <c r="B136" s="113"/>
      <c r="C136" s="114"/>
      <c r="E136" s="88"/>
      <c r="F136" s="88"/>
      <c r="G136" s="88"/>
      <c r="H136" s="89"/>
      <c r="I136" s="89"/>
      <c r="J136" s="89"/>
      <c r="K136" s="89"/>
      <c r="L136" s="111"/>
      <c r="M136" s="87"/>
      <c r="O136" s="85"/>
      <c r="P136" s="85"/>
      <c r="Q136" s="85"/>
    </row>
    <row r="137" spans="1:17" s="84" customFormat="1" x14ac:dyDescent="0.25">
      <c r="A137" s="112"/>
      <c r="B137" s="113"/>
      <c r="C137" s="114"/>
      <c r="E137" s="88"/>
      <c r="F137" s="88"/>
      <c r="G137" s="88"/>
      <c r="H137" s="89"/>
      <c r="I137" s="89"/>
      <c r="J137" s="89"/>
      <c r="K137" s="89"/>
      <c r="L137" s="111"/>
      <c r="M137" s="87"/>
      <c r="O137" s="85"/>
      <c r="P137" s="85"/>
      <c r="Q137" s="85"/>
    </row>
    <row r="138" spans="1:17" s="84" customFormat="1" x14ac:dyDescent="0.25">
      <c r="A138" s="112"/>
      <c r="B138" s="113"/>
      <c r="C138" s="114"/>
      <c r="E138" s="88"/>
      <c r="F138" s="88"/>
      <c r="G138" s="88"/>
      <c r="H138" s="89"/>
      <c r="I138" s="89"/>
      <c r="J138" s="89"/>
      <c r="K138" s="89"/>
      <c r="L138" s="111"/>
      <c r="M138" s="87"/>
      <c r="O138" s="85"/>
      <c r="P138" s="85"/>
      <c r="Q138" s="85"/>
    </row>
    <row r="139" spans="1:17" s="84" customFormat="1" x14ac:dyDescent="0.25">
      <c r="A139" s="112"/>
      <c r="B139" s="113"/>
      <c r="C139" s="114"/>
      <c r="E139" s="88"/>
      <c r="F139" s="88"/>
      <c r="G139" s="88"/>
      <c r="H139" s="89"/>
      <c r="I139" s="89"/>
      <c r="J139" s="89"/>
      <c r="K139" s="89"/>
      <c r="L139" s="111"/>
      <c r="M139" s="87"/>
      <c r="O139" s="85"/>
      <c r="P139" s="85"/>
      <c r="Q139" s="85"/>
    </row>
    <row r="140" spans="1:17" s="84" customFormat="1" x14ac:dyDescent="0.25">
      <c r="A140" s="112"/>
      <c r="B140" s="113"/>
      <c r="C140" s="114"/>
      <c r="E140" s="88"/>
      <c r="F140" s="88"/>
      <c r="G140" s="88"/>
      <c r="H140" s="89"/>
      <c r="I140" s="89"/>
      <c r="J140" s="89"/>
      <c r="K140" s="89"/>
      <c r="L140" s="111"/>
      <c r="M140" s="87"/>
      <c r="O140" s="85"/>
      <c r="P140" s="85"/>
      <c r="Q140" s="85"/>
    </row>
    <row r="141" spans="1:17" s="84" customFormat="1" x14ac:dyDescent="0.25">
      <c r="A141" s="112"/>
      <c r="B141" s="113"/>
      <c r="C141" s="114"/>
      <c r="E141" s="88"/>
      <c r="F141" s="88"/>
      <c r="G141" s="88"/>
      <c r="H141" s="89"/>
      <c r="I141" s="89"/>
      <c r="J141" s="89"/>
      <c r="K141" s="89"/>
      <c r="L141" s="111"/>
      <c r="M141" s="87"/>
      <c r="O141" s="85"/>
      <c r="P141" s="85"/>
      <c r="Q141" s="85"/>
    </row>
    <row r="142" spans="1:17" s="84" customFormat="1" x14ac:dyDescent="0.25">
      <c r="A142" s="112"/>
      <c r="B142" s="113"/>
      <c r="C142" s="114"/>
      <c r="E142" s="88"/>
      <c r="F142" s="88"/>
      <c r="G142" s="88"/>
      <c r="H142" s="89"/>
      <c r="I142" s="89"/>
      <c r="J142" s="89"/>
      <c r="K142" s="89"/>
      <c r="L142" s="111"/>
      <c r="M142" s="87"/>
      <c r="O142" s="85"/>
      <c r="P142" s="85"/>
      <c r="Q142" s="85"/>
    </row>
    <row r="143" spans="1:17" s="84" customFormat="1" x14ac:dyDescent="0.25">
      <c r="A143" s="112"/>
      <c r="B143" s="113"/>
      <c r="C143" s="114"/>
      <c r="E143" s="88"/>
      <c r="F143" s="88"/>
      <c r="G143" s="88"/>
      <c r="H143" s="89"/>
      <c r="I143" s="89"/>
      <c r="J143" s="89"/>
      <c r="K143" s="89"/>
      <c r="L143" s="111"/>
      <c r="M143" s="87"/>
      <c r="O143" s="85"/>
      <c r="P143" s="85"/>
      <c r="Q143" s="85"/>
    </row>
    <row r="144" spans="1:17" s="84" customFormat="1" x14ac:dyDescent="0.25">
      <c r="A144" s="112"/>
      <c r="B144" s="113"/>
      <c r="C144" s="114"/>
      <c r="E144" s="88"/>
      <c r="F144" s="88"/>
      <c r="G144" s="88"/>
      <c r="H144" s="89"/>
      <c r="I144" s="89"/>
      <c r="J144" s="89"/>
      <c r="K144" s="89"/>
      <c r="L144" s="111"/>
      <c r="M144" s="87"/>
      <c r="O144" s="85"/>
      <c r="P144" s="85"/>
      <c r="Q144" s="85"/>
    </row>
    <row r="145" spans="1:17" s="84" customFormat="1" x14ac:dyDescent="0.25">
      <c r="A145" s="112"/>
      <c r="B145" s="113"/>
      <c r="C145" s="114"/>
      <c r="E145" s="88"/>
      <c r="F145" s="88"/>
      <c r="G145" s="88"/>
      <c r="H145" s="89"/>
      <c r="I145" s="89"/>
      <c r="J145" s="89"/>
      <c r="K145" s="89"/>
      <c r="L145" s="111"/>
      <c r="M145" s="87"/>
      <c r="O145" s="85"/>
      <c r="P145" s="85"/>
      <c r="Q145" s="85"/>
    </row>
    <row r="146" spans="1:17" s="84" customFormat="1" x14ac:dyDescent="0.25">
      <c r="A146" s="112"/>
      <c r="B146" s="113"/>
      <c r="C146" s="114"/>
      <c r="E146" s="88"/>
      <c r="F146" s="88"/>
      <c r="G146" s="88"/>
      <c r="H146" s="89"/>
      <c r="I146" s="89"/>
      <c r="J146" s="89"/>
      <c r="K146" s="89"/>
      <c r="L146" s="111"/>
      <c r="M146" s="87"/>
      <c r="O146" s="85"/>
      <c r="P146" s="85"/>
      <c r="Q146" s="85"/>
    </row>
    <row r="147" spans="1:17" s="84" customFormat="1" x14ac:dyDescent="0.25">
      <c r="A147" s="112"/>
      <c r="B147" s="113"/>
      <c r="C147" s="114"/>
      <c r="E147" s="88"/>
      <c r="F147" s="88"/>
      <c r="G147" s="88"/>
      <c r="H147" s="89"/>
      <c r="I147" s="89"/>
      <c r="J147" s="89"/>
      <c r="K147" s="89"/>
      <c r="L147" s="111"/>
      <c r="M147" s="87"/>
      <c r="O147" s="85"/>
      <c r="P147" s="85"/>
      <c r="Q147" s="85"/>
    </row>
    <row r="148" spans="1:17" s="84" customFormat="1" x14ac:dyDescent="0.25">
      <c r="A148" s="112"/>
      <c r="B148" s="113"/>
      <c r="C148" s="114"/>
      <c r="E148" s="88"/>
      <c r="F148" s="88"/>
      <c r="G148" s="88"/>
      <c r="H148" s="89"/>
      <c r="I148" s="89"/>
      <c r="J148" s="89"/>
      <c r="K148" s="89"/>
      <c r="L148" s="111"/>
      <c r="M148" s="87"/>
      <c r="O148" s="85"/>
      <c r="P148" s="85"/>
      <c r="Q148" s="85"/>
    </row>
    <row r="149" spans="1:17" s="84" customFormat="1" x14ac:dyDescent="0.25">
      <c r="A149" s="112"/>
      <c r="B149" s="113"/>
      <c r="C149" s="114"/>
      <c r="E149" s="88"/>
      <c r="F149" s="88"/>
      <c r="G149" s="88"/>
      <c r="H149" s="89"/>
      <c r="I149" s="89"/>
      <c r="J149" s="89"/>
      <c r="K149" s="89"/>
      <c r="L149" s="111"/>
      <c r="M149" s="87"/>
      <c r="O149" s="85"/>
      <c r="P149" s="85"/>
      <c r="Q149" s="85"/>
    </row>
    <row r="150" spans="1:17" s="84" customFormat="1" x14ac:dyDescent="0.25">
      <c r="A150" s="112"/>
      <c r="B150" s="113"/>
      <c r="C150" s="114"/>
      <c r="E150" s="88"/>
      <c r="F150" s="88"/>
      <c r="G150" s="88"/>
      <c r="H150" s="89"/>
      <c r="I150" s="89"/>
      <c r="J150" s="89"/>
      <c r="K150" s="89"/>
      <c r="L150" s="111"/>
      <c r="M150" s="87"/>
      <c r="O150" s="85"/>
      <c r="P150" s="85"/>
      <c r="Q150" s="85"/>
    </row>
    <row r="151" spans="1:17" s="84" customFormat="1" x14ac:dyDescent="0.25">
      <c r="A151" s="112"/>
      <c r="B151" s="113"/>
      <c r="C151" s="114"/>
      <c r="E151" s="88"/>
      <c r="F151" s="88"/>
      <c r="G151" s="88"/>
      <c r="H151" s="89"/>
      <c r="I151" s="89"/>
      <c r="J151" s="89"/>
      <c r="K151" s="89"/>
      <c r="L151" s="111"/>
      <c r="M151" s="87"/>
      <c r="O151" s="85"/>
      <c r="P151" s="85"/>
      <c r="Q151" s="85"/>
    </row>
    <row r="152" spans="1:17" s="84" customFormat="1" x14ac:dyDescent="0.25">
      <c r="A152" s="112"/>
      <c r="B152" s="113"/>
      <c r="C152" s="114"/>
      <c r="E152" s="88"/>
      <c r="F152" s="88"/>
      <c r="G152" s="88"/>
      <c r="H152" s="89"/>
      <c r="I152" s="89"/>
      <c r="J152" s="89"/>
      <c r="K152" s="89"/>
      <c r="L152" s="111"/>
      <c r="M152" s="87"/>
      <c r="O152" s="85"/>
      <c r="P152" s="85"/>
      <c r="Q152" s="85"/>
    </row>
  </sheetData>
  <sheetProtection password="FB6B" sheet="1" formatCells="0" formatColumns="0" formatRows="0"/>
  <mergeCells count="88">
    <mergeCell ref="B42:D42"/>
    <mergeCell ref="P3:Q3"/>
    <mergeCell ref="A2:C2"/>
    <mergeCell ref="L36:L39"/>
    <mergeCell ref="M36:M39"/>
    <mergeCell ref="O36:O39"/>
    <mergeCell ref="L26:O29"/>
    <mergeCell ref="J35:K35"/>
    <mergeCell ref="L35:M35"/>
    <mergeCell ref="J34:M34"/>
    <mergeCell ref="C38:E38"/>
    <mergeCell ref="C37:E37"/>
    <mergeCell ref="F35:G35"/>
    <mergeCell ref="A17:D17"/>
    <mergeCell ref="A12:B12"/>
    <mergeCell ref="A15:B15"/>
    <mergeCell ref="C35:E36"/>
    <mergeCell ref="A37:B37"/>
    <mergeCell ref="A13:B13"/>
    <mergeCell ref="C14:D14"/>
    <mergeCell ref="C16:D16"/>
    <mergeCell ref="A4:N4"/>
    <mergeCell ref="A8:B8"/>
    <mergeCell ref="C10:D10"/>
    <mergeCell ref="C9:D9"/>
    <mergeCell ref="A5:D5"/>
    <mergeCell ref="E6:F6"/>
    <mergeCell ref="A6:B7"/>
    <mergeCell ref="G6:H6"/>
    <mergeCell ref="I6:J6"/>
    <mergeCell ref="C12:D12"/>
    <mergeCell ref="A9:B9"/>
    <mergeCell ref="A10:B10"/>
    <mergeCell ref="A1:P1"/>
    <mergeCell ref="C15:D15"/>
    <mergeCell ref="A14:B14"/>
    <mergeCell ref="P2:Q2"/>
    <mergeCell ref="O6:P6"/>
    <mergeCell ref="M6:N6"/>
    <mergeCell ref="C6:D7"/>
    <mergeCell ref="I18:I19"/>
    <mergeCell ref="B20:D20"/>
    <mergeCell ref="B29:D29"/>
    <mergeCell ref="E18:E19"/>
    <mergeCell ref="A25:D25"/>
    <mergeCell ref="C8:D8"/>
    <mergeCell ref="B21:D21"/>
    <mergeCell ref="B24:D24"/>
    <mergeCell ref="A11:B11"/>
    <mergeCell ref="C11:D11"/>
    <mergeCell ref="A30:M30"/>
    <mergeCell ref="A26:A27"/>
    <mergeCell ref="C13:D13"/>
    <mergeCell ref="J18:J19"/>
    <mergeCell ref="B23:D23"/>
    <mergeCell ref="G18:H18"/>
    <mergeCell ref="B18:D19"/>
    <mergeCell ref="K18:K19"/>
    <mergeCell ref="B22:D22"/>
    <mergeCell ref="F18:F19"/>
    <mergeCell ref="H35:I35"/>
    <mergeCell ref="I26:I27"/>
    <mergeCell ref="G26:G27"/>
    <mergeCell ref="A35:B36"/>
    <mergeCell ref="K26:K27"/>
    <mergeCell ref="A32:K32"/>
    <mergeCell ref="J26:J27"/>
    <mergeCell ref="E26:E27"/>
    <mergeCell ref="B28:D28"/>
    <mergeCell ref="A31:M31"/>
    <mergeCell ref="Q19:S19"/>
    <mergeCell ref="Q20:Q21"/>
    <mergeCell ref="P18:P20"/>
    <mergeCell ref="O18:O19"/>
    <mergeCell ref="N18:N19"/>
    <mergeCell ref="L18:M18"/>
    <mergeCell ref="R20:S20"/>
    <mergeCell ref="R21:S21"/>
    <mergeCell ref="B43:D43"/>
    <mergeCell ref="K6:L6"/>
    <mergeCell ref="H26:H27"/>
    <mergeCell ref="B26:D27"/>
    <mergeCell ref="A16:B16"/>
    <mergeCell ref="A18:A19"/>
    <mergeCell ref="A38:B38"/>
    <mergeCell ref="F26:F27"/>
    <mergeCell ref="J36:J39"/>
    <mergeCell ref="K36:K39"/>
  </mergeCells>
  <conditionalFormatting sqref="J40">
    <cfRule type="containsText" dxfId="228" priority="16" stopIfTrue="1" operator="containsText" text="ПОМИЛКА">
      <formula>NOT(ISERROR(SEARCH("ПОМИЛКА",J40)))</formula>
    </cfRule>
    <cfRule type="containsText" dxfId="227" priority="17" stopIfTrue="1" operator="containsText" text="Увага">
      <formula>NOT(ISERROR(SEARCH("Увага",J40)))</formula>
    </cfRule>
    <cfRule type="containsText" dxfId="226" priority="18" stopIfTrue="1" operator="containsText" text="ПРАВДА">
      <formula>NOT(ISERROR(SEARCH("ПРАВДА",J40)))</formula>
    </cfRule>
  </conditionalFormatting>
  <conditionalFormatting sqref="K40">
    <cfRule type="containsText" dxfId="225" priority="13" stopIfTrue="1" operator="containsText" text="ПОМИЛКА">
      <formula>NOT(ISERROR(SEARCH("ПОМИЛКА",K40)))</formula>
    </cfRule>
    <cfRule type="containsText" dxfId="224" priority="14" stopIfTrue="1" operator="containsText" text="Увага">
      <formula>NOT(ISERROR(SEARCH("Увага",K40)))</formula>
    </cfRule>
    <cfRule type="containsText" dxfId="223" priority="15" stopIfTrue="1" operator="containsText" text="ПРАВДА">
      <formula>NOT(ISERROR(SEARCH("ПРАВДА",K40)))</formula>
    </cfRule>
  </conditionalFormatting>
  <conditionalFormatting sqref="L40">
    <cfRule type="containsText" dxfId="222" priority="7" stopIfTrue="1" operator="containsText" text="ПОМИЛКА">
      <formula>NOT(ISERROR(SEARCH("ПОМИЛКА",L40)))</formula>
    </cfRule>
    <cfRule type="containsText" dxfId="221" priority="8" stopIfTrue="1" operator="containsText" text="Увага">
      <formula>NOT(ISERROR(SEARCH("Увага",L40)))</formula>
    </cfRule>
    <cfRule type="containsText" dxfId="220" priority="9" stopIfTrue="1" operator="containsText" text="ПРАВДА">
      <formula>NOT(ISERROR(SEARCH("ПРАВДА",L40)))</formula>
    </cfRule>
  </conditionalFormatting>
  <conditionalFormatting sqref="M40">
    <cfRule type="containsText" dxfId="219" priority="4" stopIfTrue="1" operator="containsText" text="ПОМИЛКА">
      <formula>NOT(ISERROR(SEARCH("ПОМИЛКА",M40)))</formula>
    </cfRule>
    <cfRule type="containsText" dxfId="218" priority="5" stopIfTrue="1" operator="containsText" text="Увага">
      <formula>NOT(ISERROR(SEARCH("Увага",M40)))</formula>
    </cfRule>
    <cfRule type="containsText" dxfId="217" priority="6" stopIfTrue="1" operator="containsText" text="ПРАВДА">
      <formula>NOT(ISERROR(SEARCH("ПРАВДА",M40)))</formula>
    </cfRule>
  </conditionalFormatting>
  <conditionalFormatting sqref="O40">
    <cfRule type="containsText" dxfId="216" priority="1" stopIfTrue="1" operator="containsText" text="ПОМИЛКА">
      <formula>NOT(ISERROR(SEARCH("ПОМИЛКА",O40)))</formula>
    </cfRule>
    <cfRule type="containsText" dxfId="215" priority="2" stopIfTrue="1" operator="containsText" text="Увага">
      <formula>NOT(ISERROR(SEARCH("Увага",O40)))</formula>
    </cfRule>
    <cfRule type="containsText" dxfId="214" priority="3" stopIfTrue="1" operator="containsText" text="ПРАВДА">
      <formula>NOT(ISERROR(SEARCH("ПРАВДА",O40)))</formula>
    </cfRule>
  </conditionalFormatting>
  <dataValidations count="1">
    <dataValidation type="decimal" operator="greaterThanOrEqual" showInputMessage="1" showErrorMessage="1" error="Будь ласка, вкажіть додатнє число." sqref="F38:I38 G10:H16 M12:P16 E29:K29 I10:P11 I15:L16 F22:N22 F23:N24">
      <formula1>0</formula1>
    </dataValidation>
  </dataValidations>
  <hyperlinks>
    <hyperlink ref="A33" r:id="rId1"/>
  </hyperlinks>
  <pageMargins left="0.19685039370078741" right="0.27559055118110237" top="0.59055118110236227" bottom="0.35433070866141736" header="0.39370078740157483" footer="0.31496062992125984"/>
  <pageSetup paperSize="9" scale="38" orientation="landscape" r:id="rId2"/>
  <headerFooter alignWithMargins="0">
    <oddFooter>&amp;RСтор.  &amp;P</oddFooter>
  </headerFooter>
  <rowBreaks count="1" manualBreakCount="1">
    <brk id="40" max="16383" man="1"/>
  </rowBreaks>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tabColor rgb="FFFFFF00"/>
  </sheetPr>
  <dimension ref="A1:AJ138"/>
  <sheetViews>
    <sheetView showGridLines="0" view="pageBreakPreview" topLeftCell="C43" zoomScale="60" zoomScaleNormal="60" zoomScalePageLayoutView="50" workbookViewId="0">
      <selection activeCell="I57" sqref="I57"/>
    </sheetView>
  </sheetViews>
  <sheetFormatPr defaultColWidth="8.7109375" defaultRowHeight="26.25" x14ac:dyDescent="0.25"/>
  <cols>
    <col min="1" max="1" width="41.5703125" style="2" customWidth="1"/>
    <col min="2" max="2" width="17.42578125" style="64" customWidth="1"/>
    <col min="3" max="3" width="28.7109375" style="64" customWidth="1"/>
    <col min="4" max="4" width="17.5703125" style="64" customWidth="1"/>
    <col min="5" max="5" width="21.42578125" style="4" customWidth="1"/>
    <col min="6" max="7" width="21.42578125" style="146" customWidth="1"/>
    <col min="8" max="8" width="28.28515625" style="4" customWidth="1"/>
    <col min="9" max="9" width="21" style="4" customWidth="1"/>
    <col min="10" max="10" width="18" style="1059" customWidth="1"/>
    <col min="11" max="11" width="32" style="52" customWidth="1"/>
    <col min="12" max="13" width="20.7109375" style="842" customWidth="1"/>
    <col min="14" max="14" width="12.42578125" style="1356" customWidth="1"/>
    <col min="15" max="24" width="19.5703125" style="84" customWidth="1"/>
    <col min="25" max="36" width="8.7109375" style="84"/>
    <col min="37" max="233" width="8.7109375" style="2"/>
    <col min="234" max="234" width="78.5703125" style="2" customWidth="1"/>
    <col min="235" max="237" width="19.42578125" style="2" customWidth="1"/>
    <col min="238" max="16384" width="8.7109375" style="2"/>
  </cols>
  <sheetData>
    <row r="1" spans="1:36" ht="27" x14ac:dyDescent="0.25">
      <c r="A1" s="2529" t="s">
        <v>1492</v>
      </c>
      <c r="B1" s="2529"/>
      <c r="C1" s="2529"/>
      <c r="D1" s="2529"/>
      <c r="E1" s="2529"/>
      <c r="F1" s="2529"/>
      <c r="G1" s="2529"/>
      <c r="H1" s="2529"/>
      <c r="I1" s="2529"/>
      <c r="J1" s="2529"/>
      <c r="K1" s="2529"/>
    </row>
    <row r="2" spans="1:36" ht="27" customHeight="1" x14ac:dyDescent="0.25">
      <c r="A2" s="2449" t="s">
        <v>0</v>
      </c>
      <c r="B2" s="2449"/>
      <c r="C2" s="2449"/>
      <c r="D2" s="147">
        <f>'Звіт 1,2,3'!D1</f>
        <v>2006707</v>
      </c>
      <c r="E2" s="65" t="s">
        <v>1</v>
      </c>
      <c r="F2" s="1051">
        <f>'Звіт 1,2,3'!H1</f>
        <v>430</v>
      </c>
      <c r="G2" s="1580"/>
      <c r="H2" s="1"/>
      <c r="J2" s="2283" t="s">
        <v>3</v>
      </c>
      <c r="K2" s="2283"/>
      <c r="L2" s="2528"/>
      <c r="M2" s="1503"/>
    </row>
    <row r="3" spans="1:36" ht="22.35" customHeight="1" x14ac:dyDescent="0.25">
      <c r="A3" s="23"/>
      <c r="B3" s="1"/>
      <c r="C3" s="2"/>
      <c r="E3" s="64"/>
      <c r="F3" s="72"/>
      <c r="G3" s="72"/>
      <c r="H3" s="64"/>
      <c r="I3" s="64"/>
      <c r="J3" s="2448" t="s">
        <v>298</v>
      </c>
      <c r="K3" s="2448"/>
      <c r="L3" s="2528"/>
      <c r="M3" s="1503"/>
    </row>
    <row r="4" spans="1:36" ht="22.15" customHeight="1" x14ac:dyDescent="0.25">
      <c r="A4" s="2239" t="str">
        <f>'Звіт 1,2,3'!A3:O3</f>
        <v>ЗВІТ ПРО ДОХОДИ ТА ВИТРАТИ за 1 квартал  2021 року</v>
      </c>
      <c r="B4" s="2239"/>
      <c r="C4" s="2239"/>
      <c r="D4" s="2239"/>
      <c r="E4" s="2239"/>
      <c r="F4" s="2239"/>
      <c r="G4" s="2239"/>
      <c r="H4" s="2239"/>
      <c r="I4" s="2239"/>
      <c r="J4" s="2239"/>
      <c r="K4" s="2239"/>
      <c r="L4" s="2528"/>
      <c r="M4" s="1503"/>
    </row>
    <row r="5" spans="1:36" ht="23.65" customHeight="1" x14ac:dyDescent="0.25">
      <c r="A5" s="15" t="s">
        <v>514</v>
      </c>
      <c r="B5" s="7"/>
      <c r="C5" s="7"/>
      <c r="D5" s="7"/>
      <c r="E5" s="64"/>
      <c r="F5" s="72"/>
      <c r="G5" s="72"/>
      <c r="H5" s="64"/>
      <c r="I5" s="64"/>
      <c r="L5" s="2528"/>
      <c r="M5" s="1503"/>
    </row>
    <row r="6" spans="1:36" ht="20.65" customHeight="1" thickBot="1" x14ac:dyDescent="0.3">
      <c r="A6" s="15"/>
      <c r="B6" s="7"/>
      <c r="C6" s="7"/>
      <c r="D6" s="7"/>
      <c r="E6" s="64"/>
      <c r="F6" s="72"/>
      <c r="G6" s="72"/>
      <c r="H6" s="64"/>
      <c r="K6" s="148" t="s">
        <v>337</v>
      </c>
      <c r="L6" s="2528"/>
      <c r="M6" s="1503"/>
    </row>
    <row r="7" spans="1:36" s="9" customFormat="1" ht="75" customHeight="1" x14ac:dyDescent="0.3">
      <c r="A7" s="2471" t="s">
        <v>97</v>
      </c>
      <c r="B7" s="2472"/>
      <c r="C7" s="2472"/>
      <c r="D7" s="319" t="s">
        <v>56</v>
      </c>
      <c r="E7" s="939" t="s">
        <v>98</v>
      </c>
      <c r="F7" s="227" t="s">
        <v>386</v>
      </c>
      <c r="G7" s="227" t="s">
        <v>1869</v>
      </c>
      <c r="H7" s="939" t="s">
        <v>1868</v>
      </c>
      <c r="I7" s="939" t="s">
        <v>99</v>
      </c>
      <c r="J7" s="227" t="s">
        <v>386</v>
      </c>
      <c r="K7" s="940" t="s">
        <v>428</v>
      </c>
      <c r="L7" s="2528"/>
      <c r="M7" s="1503"/>
      <c r="N7" s="605"/>
      <c r="O7" s="81"/>
      <c r="P7" s="81"/>
      <c r="Q7" s="81"/>
      <c r="R7" s="81"/>
      <c r="S7" s="81"/>
      <c r="T7" s="81"/>
      <c r="U7" s="81"/>
      <c r="V7" s="81"/>
      <c r="W7" s="81"/>
      <c r="X7" s="81"/>
      <c r="Y7" s="81"/>
      <c r="Z7" s="81"/>
      <c r="AA7" s="81"/>
      <c r="AB7" s="81"/>
      <c r="AC7" s="81"/>
      <c r="AD7" s="81"/>
      <c r="AE7" s="81"/>
      <c r="AF7" s="81"/>
      <c r="AG7" s="81"/>
      <c r="AH7" s="81"/>
      <c r="AI7" s="81"/>
      <c r="AJ7" s="81"/>
    </row>
    <row r="8" spans="1:36" s="9" customFormat="1" ht="23.25" customHeight="1" thickBot="1" x14ac:dyDescent="0.45">
      <c r="A8" s="2487">
        <v>1</v>
      </c>
      <c r="B8" s="2488"/>
      <c r="C8" s="2488"/>
      <c r="D8" s="1502">
        <v>2</v>
      </c>
      <c r="E8" s="1502">
        <v>3</v>
      </c>
      <c r="F8" s="1052">
        <v>4</v>
      </c>
      <c r="G8" s="1052" t="s">
        <v>1867</v>
      </c>
      <c r="H8" s="1502">
        <v>5</v>
      </c>
      <c r="I8" s="1502">
        <v>6</v>
      </c>
      <c r="J8" s="1052">
        <v>7</v>
      </c>
      <c r="K8" s="230">
        <v>8</v>
      </c>
      <c r="L8" s="843"/>
      <c r="M8" s="843"/>
      <c r="N8" s="605"/>
      <c r="O8" s="81"/>
      <c r="P8" s="81"/>
      <c r="Q8" s="81"/>
      <c r="R8" s="81"/>
      <c r="S8" s="81"/>
      <c r="T8" s="81"/>
      <c r="U8" s="81"/>
      <c r="V8" s="81"/>
      <c r="W8" s="81"/>
      <c r="X8" s="81"/>
      <c r="Y8" s="81"/>
      <c r="Z8" s="81"/>
      <c r="AA8" s="81"/>
      <c r="AB8" s="81"/>
      <c r="AC8" s="81"/>
      <c r="AD8" s="81"/>
      <c r="AE8" s="81"/>
      <c r="AF8" s="81"/>
      <c r="AG8" s="81"/>
      <c r="AH8" s="81"/>
      <c r="AI8" s="81"/>
      <c r="AJ8" s="81"/>
    </row>
    <row r="9" spans="1:36" s="9" customFormat="1" ht="21" customHeight="1" x14ac:dyDescent="0.4">
      <c r="A9" s="2485" t="s">
        <v>285</v>
      </c>
      <c r="B9" s="2486"/>
      <c r="C9" s="2486"/>
      <c r="D9" s="228"/>
      <c r="E9" s="993"/>
      <c r="F9" s="994"/>
      <c r="G9" s="994"/>
      <c r="H9" s="993"/>
      <c r="I9" s="993"/>
      <c r="J9" s="1060"/>
      <c r="K9" s="995"/>
      <c r="L9" s="843"/>
      <c r="M9" s="843"/>
      <c r="N9" s="605"/>
      <c r="O9" s="81"/>
      <c r="P9" s="81"/>
      <c r="Q9" s="81"/>
      <c r="R9" s="81"/>
      <c r="S9" s="81"/>
      <c r="T9" s="81"/>
      <c r="U9" s="81"/>
      <c r="V9" s="81"/>
      <c r="W9" s="81"/>
      <c r="X9" s="81"/>
      <c r="Y9" s="81"/>
      <c r="Z9" s="81"/>
      <c r="AA9" s="81"/>
      <c r="AB9" s="81"/>
      <c r="AC9" s="81"/>
      <c r="AD9" s="81"/>
      <c r="AE9" s="81"/>
      <c r="AF9" s="81"/>
      <c r="AG9" s="81"/>
      <c r="AH9" s="81"/>
      <c r="AI9" s="81"/>
      <c r="AJ9" s="81"/>
    </row>
    <row r="10" spans="1:36" s="9" customFormat="1" ht="22.35" customHeight="1" x14ac:dyDescent="0.4">
      <c r="A10" s="2474" t="s">
        <v>100</v>
      </c>
      <c r="B10" s="2475"/>
      <c r="C10" s="2475"/>
      <c r="D10" s="1036">
        <v>1000</v>
      </c>
      <c r="E10" s="1037">
        <f>E11+E12</f>
        <v>0</v>
      </c>
      <c r="F10" s="1038">
        <f>F11+F12</f>
        <v>0</v>
      </c>
      <c r="G10" s="1038">
        <f>G11+G12</f>
        <v>0</v>
      </c>
      <c r="H10" s="1039">
        <f>ROUND((E10+F10+G10),1)</f>
        <v>0</v>
      </c>
      <c r="I10" s="1037">
        <f>I11+I12</f>
        <v>0</v>
      </c>
      <c r="J10" s="1038">
        <f>J11+J12</f>
        <v>0</v>
      </c>
      <c r="K10" s="1040">
        <f>ROUND((I10+J10),1)</f>
        <v>0</v>
      </c>
      <c r="L10" s="845"/>
      <c r="M10" s="845"/>
      <c r="N10" s="605"/>
      <c r="O10" s="81"/>
      <c r="P10" s="81"/>
      <c r="Q10" s="81"/>
      <c r="R10" s="81"/>
      <c r="S10" s="81"/>
      <c r="T10" s="81"/>
      <c r="U10" s="81"/>
      <c r="V10" s="81"/>
      <c r="W10" s="81"/>
      <c r="X10" s="81"/>
      <c r="Y10" s="81"/>
      <c r="Z10" s="81"/>
      <c r="AA10" s="81"/>
      <c r="AB10" s="81"/>
      <c r="AC10" s="81"/>
      <c r="AD10" s="81"/>
      <c r="AE10" s="81"/>
      <c r="AF10" s="81"/>
      <c r="AG10" s="81"/>
      <c r="AH10" s="81"/>
      <c r="AI10" s="81"/>
      <c r="AJ10" s="81"/>
    </row>
    <row r="11" spans="1:36" s="9" customFormat="1" ht="22.35" customHeight="1" x14ac:dyDescent="0.4">
      <c r="A11" s="2476" t="s">
        <v>101</v>
      </c>
      <c r="B11" s="2477"/>
      <c r="C11" s="2477"/>
      <c r="D11" s="38">
        <v>1001</v>
      </c>
      <c r="E11" s="996">
        <v>0</v>
      </c>
      <c r="F11" s="1053">
        <v>0</v>
      </c>
      <c r="G11" s="1053">
        <v>0</v>
      </c>
      <c r="H11" s="1039">
        <f>ROUND((E11+F11+G11),1)</f>
        <v>0</v>
      </c>
      <c r="I11" s="996">
        <v>0</v>
      </c>
      <c r="J11" s="1053">
        <v>0</v>
      </c>
      <c r="K11" s="1040">
        <f t="shared" ref="K11:K74" si="0">ROUND((I11+J11),1)</f>
        <v>0</v>
      </c>
      <c r="L11" s="845"/>
      <c r="M11" s="845"/>
      <c r="N11" s="605"/>
      <c r="O11" s="81"/>
      <c r="P11" s="81"/>
      <c r="Q11" s="81"/>
      <c r="R11" s="81"/>
      <c r="S11" s="81"/>
      <c r="T11" s="81"/>
      <c r="U11" s="81"/>
      <c r="V11" s="81"/>
      <c r="W11" s="81"/>
      <c r="X11" s="81"/>
      <c r="Y11" s="81"/>
      <c r="Z11" s="81"/>
      <c r="AA11" s="81"/>
      <c r="AB11" s="81"/>
      <c r="AC11" s="81"/>
      <c r="AD11" s="81"/>
      <c r="AE11" s="81"/>
      <c r="AF11" s="81"/>
      <c r="AG11" s="81"/>
      <c r="AH11" s="81"/>
      <c r="AI11" s="81"/>
      <c r="AJ11" s="81"/>
    </row>
    <row r="12" spans="1:36" s="9" customFormat="1" ht="22.35" customHeight="1" x14ac:dyDescent="0.4">
      <c r="A12" s="2476" t="s">
        <v>259</v>
      </c>
      <c r="B12" s="2477"/>
      <c r="C12" s="2477"/>
      <c r="D12" s="37">
        <v>1002</v>
      </c>
      <c r="E12" s="996">
        <v>0</v>
      </c>
      <c r="F12" s="1053">
        <v>0</v>
      </c>
      <c r="G12" s="1053">
        <v>0</v>
      </c>
      <c r="H12" s="1039">
        <f t="shared" ref="H12:H74" si="1">ROUND((E12+F12+G12),1)</f>
        <v>0</v>
      </c>
      <c r="I12" s="996">
        <v>0</v>
      </c>
      <c r="J12" s="1053">
        <v>0</v>
      </c>
      <c r="K12" s="1040">
        <f t="shared" si="0"/>
        <v>0</v>
      </c>
      <c r="L12" s="845"/>
      <c r="M12" s="845"/>
      <c r="N12" s="605"/>
      <c r="O12" s="81"/>
      <c r="P12" s="81"/>
      <c r="Q12" s="81"/>
      <c r="R12" s="81"/>
      <c r="S12" s="81"/>
      <c r="T12" s="81"/>
      <c r="U12" s="81"/>
      <c r="V12" s="81"/>
      <c r="W12" s="81"/>
      <c r="X12" s="81"/>
      <c r="Y12" s="81"/>
      <c r="Z12" s="81"/>
      <c r="AA12" s="81"/>
      <c r="AB12" s="81"/>
      <c r="AC12" s="81"/>
      <c r="AD12" s="81"/>
      <c r="AE12" s="81"/>
      <c r="AF12" s="81"/>
      <c r="AG12" s="81"/>
      <c r="AH12" s="81"/>
      <c r="AI12" s="81"/>
      <c r="AJ12" s="81"/>
    </row>
    <row r="13" spans="1:36" s="9" customFormat="1" ht="22.35" customHeight="1" x14ac:dyDescent="0.4">
      <c r="A13" s="2467" t="s">
        <v>102</v>
      </c>
      <c r="B13" s="2468"/>
      <c r="C13" s="2468"/>
      <c r="D13" s="37">
        <v>1005</v>
      </c>
      <c r="E13" s="996">
        <v>106.6</v>
      </c>
      <c r="F13" s="1053">
        <v>0</v>
      </c>
      <c r="G13" s="1053">
        <v>0</v>
      </c>
      <c r="H13" s="1039">
        <f t="shared" si="1"/>
        <v>106.6</v>
      </c>
      <c r="I13" s="996">
        <v>60.9</v>
      </c>
      <c r="J13" s="1053">
        <v>0</v>
      </c>
      <c r="K13" s="1040">
        <f t="shared" si="0"/>
        <v>60.9</v>
      </c>
      <c r="L13" s="845"/>
      <c r="M13" s="845"/>
      <c r="N13" s="605"/>
      <c r="O13" s="81"/>
      <c r="P13" s="81"/>
      <c r="Q13" s="81"/>
      <c r="R13" s="81"/>
      <c r="S13" s="81"/>
      <c r="T13" s="81"/>
      <c r="U13" s="81"/>
      <c r="V13" s="81"/>
      <c r="W13" s="81"/>
      <c r="X13" s="81"/>
      <c r="Y13" s="81"/>
      <c r="Z13" s="81"/>
      <c r="AA13" s="81"/>
      <c r="AB13" s="81"/>
      <c r="AC13" s="81"/>
      <c r="AD13" s="81"/>
      <c r="AE13" s="81"/>
      <c r="AF13" s="81"/>
      <c r="AG13" s="81"/>
      <c r="AH13" s="81"/>
      <c r="AI13" s="81"/>
      <c r="AJ13" s="81"/>
    </row>
    <row r="14" spans="1:36" s="9" customFormat="1" ht="22.35" customHeight="1" x14ac:dyDescent="0.4">
      <c r="A14" s="2481" t="s">
        <v>103</v>
      </c>
      <c r="B14" s="2482"/>
      <c r="C14" s="2482"/>
      <c r="D14" s="41">
        <v>1010</v>
      </c>
      <c r="E14" s="1037">
        <f>E15+E16</f>
        <v>38488.699999999997</v>
      </c>
      <c r="F14" s="1038">
        <f>F15+F16</f>
        <v>0</v>
      </c>
      <c r="G14" s="1038">
        <f>G15+G16</f>
        <v>9919.4000000000015</v>
      </c>
      <c r="H14" s="1039">
        <f t="shared" si="1"/>
        <v>48408.1</v>
      </c>
      <c r="I14" s="1037">
        <f>I15+I16</f>
        <v>48363.199999999997</v>
      </c>
      <c r="J14" s="1038">
        <f>J15+J16</f>
        <v>0</v>
      </c>
      <c r="K14" s="1040">
        <f t="shared" si="0"/>
        <v>48363.199999999997</v>
      </c>
      <c r="L14" s="845"/>
      <c r="M14" s="845"/>
      <c r="N14" s="605"/>
      <c r="O14" s="81"/>
      <c r="P14" s="81"/>
      <c r="Q14" s="81"/>
      <c r="R14" s="81"/>
      <c r="S14" s="81"/>
      <c r="T14" s="81"/>
      <c r="U14" s="81"/>
      <c r="V14" s="81"/>
      <c r="W14" s="81"/>
      <c r="X14" s="81"/>
      <c r="Y14" s="81"/>
      <c r="Z14" s="81"/>
      <c r="AA14" s="81"/>
      <c r="AB14" s="81"/>
      <c r="AC14" s="81"/>
      <c r="AD14" s="81"/>
      <c r="AE14" s="81"/>
      <c r="AF14" s="81"/>
      <c r="AG14" s="81"/>
      <c r="AH14" s="81"/>
      <c r="AI14" s="81"/>
      <c r="AJ14" s="81"/>
    </row>
    <row r="15" spans="1:36" s="9" customFormat="1" ht="22.35" customHeight="1" x14ac:dyDescent="0.4">
      <c r="A15" s="2476" t="s">
        <v>101</v>
      </c>
      <c r="B15" s="2477"/>
      <c r="C15" s="2477"/>
      <c r="D15" s="38">
        <v>1011</v>
      </c>
      <c r="E15" s="996">
        <v>75250.5</v>
      </c>
      <c r="F15" s="1053">
        <v>0</v>
      </c>
      <c r="G15" s="1053">
        <v>12261.7</v>
      </c>
      <c r="H15" s="1039">
        <f t="shared" si="1"/>
        <v>87512.2</v>
      </c>
      <c r="I15" s="996">
        <v>87490.2</v>
      </c>
      <c r="J15" s="1053">
        <v>0</v>
      </c>
      <c r="K15" s="1040">
        <f t="shared" si="0"/>
        <v>87490.2</v>
      </c>
      <c r="L15" s="845"/>
      <c r="M15" s="845"/>
      <c r="N15" s="605"/>
      <c r="O15" s="81"/>
      <c r="P15" s="81"/>
      <c r="Q15" s="81"/>
      <c r="R15" s="81"/>
      <c r="S15" s="81"/>
      <c r="T15" s="81"/>
      <c r="U15" s="81"/>
      <c r="V15" s="81"/>
      <c r="W15" s="81"/>
      <c r="X15" s="81"/>
      <c r="Y15" s="81"/>
      <c r="Z15" s="81"/>
      <c r="AA15" s="81"/>
      <c r="AB15" s="81"/>
      <c r="AC15" s="81"/>
      <c r="AD15" s="81"/>
      <c r="AE15" s="81"/>
      <c r="AF15" s="81"/>
      <c r="AG15" s="81"/>
      <c r="AH15" s="81"/>
      <c r="AI15" s="81"/>
      <c r="AJ15" s="81"/>
    </row>
    <row r="16" spans="1:36" s="9" customFormat="1" ht="22.35" customHeight="1" x14ac:dyDescent="0.4">
      <c r="A16" s="2476" t="s">
        <v>260</v>
      </c>
      <c r="B16" s="2477"/>
      <c r="C16" s="2477"/>
      <c r="D16" s="38">
        <v>1012</v>
      </c>
      <c r="E16" s="996">
        <v>-36761.800000000003</v>
      </c>
      <c r="F16" s="1053">
        <v>0</v>
      </c>
      <c r="G16" s="1053">
        <v>-2342.3000000000002</v>
      </c>
      <c r="H16" s="1039">
        <f t="shared" si="1"/>
        <v>-39104.1</v>
      </c>
      <c r="I16" s="996">
        <v>-39127</v>
      </c>
      <c r="J16" s="1053">
        <v>0</v>
      </c>
      <c r="K16" s="1040">
        <f t="shared" si="0"/>
        <v>-39127</v>
      </c>
      <c r="L16" s="845"/>
      <c r="M16" s="845"/>
      <c r="N16" s="605"/>
      <c r="O16" s="81"/>
      <c r="P16" s="81"/>
      <c r="Q16" s="81"/>
      <c r="R16" s="81"/>
      <c r="S16" s="81"/>
      <c r="T16" s="81"/>
      <c r="U16" s="81"/>
      <c r="V16" s="81"/>
      <c r="W16" s="81"/>
      <c r="X16" s="81"/>
      <c r="Y16" s="81"/>
      <c r="Z16" s="81"/>
      <c r="AA16" s="81"/>
      <c r="AB16" s="81"/>
      <c r="AC16" s="81"/>
      <c r="AD16" s="81"/>
      <c r="AE16" s="81"/>
      <c r="AF16" s="81"/>
      <c r="AG16" s="81"/>
      <c r="AH16" s="81"/>
      <c r="AI16" s="81"/>
      <c r="AJ16" s="81"/>
    </row>
    <row r="17" spans="1:36" s="9" customFormat="1" ht="22.35" customHeight="1" x14ac:dyDescent="0.4">
      <c r="A17" s="2467" t="s">
        <v>104</v>
      </c>
      <c r="B17" s="2468"/>
      <c r="C17" s="2468"/>
      <c r="D17" s="37">
        <v>1015</v>
      </c>
      <c r="E17" s="996">
        <v>0</v>
      </c>
      <c r="F17" s="1053">
        <v>0</v>
      </c>
      <c r="G17" s="1053">
        <v>0</v>
      </c>
      <c r="H17" s="1039">
        <f t="shared" si="1"/>
        <v>0</v>
      </c>
      <c r="I17" s="996">
        <v>0</v>
      </c>
      <c r="J17" s="1053">
        <v>0</v>
      </c>
      <c r="K17" s="1040">
        <f t="shared" si="0"/>
        <v>0</v>
      </c>
      <c r="L17" s="845"/>
      <c r="M17" s="845"/>
      <c r="N17" s="605"/>
      <c r="O17" s="81"/>
      <c r="P17" s="81"/>
      <c r="Q17" s="81"/>
      <c r="R17" s="81"/>
      <c r="S17" s="81"/>
      <c r="T17" s="81"/>
      <c r="U17" s="81"/>
      <c r="V17" s="81"/>
      <c r="W17" s="81"/>
      <c r="X17" s="81"/>
      <c r="Y17" s="81"/>
      <c r="Z17" s="81"/>
      <c r="AA17" s="81"/>
      <c r="AB17" s="81"/>
      <c r="AC17" s="81"/>
      <c r="AD17" s="81"/>
      <c r="AE17" s="81"/>
      <c r="AF17" s="81"/>
      <c r="AG17" s="81"/>
      <c r="AH17" s="81"/>
      <c r="AI17" s="81"/>
      <c r="AJ17" s="81"/>
    </row>
    <row r="18" spans="1:36" s="9" customFormat="1" ht="24" customHeight="1" x14ac:dyDescent="0.4">
      <c r="A18" s="2467" t="s">
        <v>105</v>
      </c>
      <c r="B18" s="2468"/>
      <c r="C18" s="2468"/>
      <c r="D18" s="37">
        <v>1020</v>
      </c>
      <c r="E18" s="996">
        <v>0</v>
      </c>
      <c r="F18" s="1053">
        <v>0</v>
      </c>
      <c r="G18" s="1053">
        <v>0</v>
      </c>
      <c r="H18" s="1039">
        <f t="shared" si="1"/>
        <v>0</v>
      </c>
      <c r="I18" s="996">
        <v>0</v>
      </c>
      <c r="J18" s="1053">
        <v>0</v>
      </c>
      <c r="K18" s="1040">
        <f t="shared" si="0"/>
        <v>0</v>
      </c>
      <c r="L18" s="845"/>
      <c r="M18" s="845"/>
      <c r="N18" s="605"/>
      <c r="O18" s="81"/>
      <c r="P18" s="81"/>
      <c r="Q18" s="81"/>
      <c r="R18" s="81"/>
      <c r="S18" s="81"/>
      <c r="T18" s="81"/>
      <c r="U18" s="81"/>
      <c r="V18" s="81"/>
      <c r="W18" s="81"/>
      <c r="X18" s="81"/>
      <c r="Y18" s="81"/>
      <c r="Z18" s="81"/>
      <c r="AA18" s="81"/>
      <c r="AB18" s="81"/>
      <c r="AC18" s="81"/>
      <c r="AD18" s="81"/>
      <c r="AE18" s="81"/>
      <c r="AF18" s="81"/>
      <c r="AG18" s="81"/>
      <c r="AH18" s="81"/>
      <c r="AI18" s="81"/>
      <c r="AJ18" s="81"/>
    </row>
    <row r="19" spans="1:36" s="9" customFormat="1" ht="21.6" customHeight="1" x14ac:dyDescent="0.4">
      <c r="A19" s="2467" t="s">
        <v>286</v>
      </c>
      <c r="B19" s="2468"/>
      <c r="C19" s="2468"/>
      <c r="D19" s="37"/>
      <c r="E19" s="996"/>
      <c r="F19" s="1053"/>
      <c r="G19" s="1053"/>
      <c r="H19" s="1039">
        <f t="shared" si="1"/>
        <v>0</v>
      </c>
      <c r="I19" s="996"/>
      <c r="J19" s="1053"/>
      <c r="K19" s="1040">
        <f t="shared" si="0"/>
        <v>0</v>
      </c>
      <c r="L19" s="845"/>
      <c r="M19" s="845"/>
      <c r="N19" s="605"/>
      <c r="O19" s="81"/>
      <c r="P19" s="81"/>
      <c r="Q19" s="81"/>
      <c r="R19" s="81"/>
      <c r="S19" s="81"/>
      <c r="T19" s="81"/>
      <c r="U19" s="81"/>
      <c r="V19" s="81"/>
      <c r="W19" s="81"/>
      <c r="X19" s="81"/>
      <c r="Y19" s="81"/>
      <c r="Z19" s="81"/>
      <c r="AA19" s="81"/>
      <c r="AB19" s="81"/>
      <c r="AC19" s="81"/>
      <c r="AD19" s="81"/>
      <c r="AE19" s="81"/>
      <c r="AF19" s="81"/>
      <c r="AG19" s="81"/>
      <c r="AH19" s="81"/>
      <c r="AI19" s="81"/>
      <c r="AJ19" s="81"/>
    </row>
    <row r="20" spans="1:36" s="9" customFormat="1" ht="23.45" customHeight="1" x14ac:dyDescent="0.4">
      <c r="A20" s="2465" t="s">
        <v>106</v>
      </c>
      <c r="B20" s="2466"/>
      <c r="C20" s="2466"/>
      <c r="D20" s="37">
        <v>1030</v>
      </c>
      <c r="E20" s="996">
        <v>0</v>
      </c>
      <c r="F20" s="1053">
        <v>0</v>
      </c>
      <c r="G20" s="1053">
        <v>0</v>
      </c>
      <c r="H20" s="1039">
        <f t="shared" si="1"/>
        <v>0</v>
      </c>
      <c r="I20" s="996">
        <v>0</v>
      </c>
      <c r="J20" s="1053">
        <v>0</v>
      </c>
      <c r="K20" s="1040">
        <f t="shared" si="0"/>
        <v>0</v>
      </c>
      <c r="L20" s="845"/>
      <c r="M20" s="845"/>
      <c r="N20" s="605"/>
      <c r="O20" s="81"/>
      <c r="P20" s="81"/>
      <c r="Q20" s="81"/>
      <c r="R20" s="81"/>
      <c r="S20" s="81"/>
      <c r="T20" s="81"/>
      <c r="U20" s="81"/>
      <c r="V20" s="81"/>
      <c r="W20" s="81"/>
      <c r="X20" s="81"/>
      <c r="Y20" s="81"/>
      <c r="Z20" s="81"/>
      <c r="AA20" s="81"/>
      <c r="AB20" s="81"/>
      <c r="AC20" s="81"/>
      <c r="AD20" s="81"/>
      <c r="AE20" s="81"/>
      <c r="AF20" s="81"/>
      <c r="AG20" s="81"/>
      <c r="AH20" s="81"/>
      <c r="AI20" s="81"/>
      <c r="AJ20" s="81"/>
    </row>
    <row r="21" spans="1:36" s="9" customFormat="1" ht="22.35" customHeight="1" x14ac:dyDescent="0.4">
      <c r="A21" s="2465" t="s">
        <v>107</v>
      </c>
      <c r="B21" s="2466"/>
      <c r="C21" s="2466"/>
      <c r="D21" s="37">
        <v>1035</v>
      </c>
      <c r="E21" s="996">
        <v>0</v>
      </c>
      <c r="F21" s="1053">
        <v>0</v>
      </c>
      <c r="G21" s="1053">
        <v>0</v>
      </c>
      <c r="H21" s="1039">
        <f t="shared" si="1"/>
        <v>0</v>
      </c>
      <c r="I21" s="996">
        <v>0</v>
      </c>
      <c r="J21" s="1053">
        <v>0</v>
      </c>
      <c r="K21" s="1040">
        <f t="shared" si="0"/>
        <v>0</v>
      </c>
      <c r="L21" s="845"/>
      <c r="M21" s="845"/>
      <c r="N21" s="1357" t="s">
        <v>744</v>
      </c>
      <c r="O21" s="81"/>
      <c r="P21" s="81"/>
      <c r="Q21" s="81"/>
      <c r="R21" s="81"/>
      <c r="S21" s="81"/>
      <c r="T21" s="81"/>
      <c r="U21" s="81"/>
      <c r="V21" s="81"/>
      <c r="W21" s="81"/>
      <c r="X21" s="81"/>
      <c r="Y21" s="81"/>
      <c r="Z21" s="81"/>
      <c r="AA21" s="81"/>
      <c r="AB21" s="81"/>
      <c r="AC21" s="81"/>
      <c r="AD21" s="81"/>
      <c r="AE21" s="81"/>
      <c r="AF21" s="81"/>
      <c r="AG21" s="81"/>
      <c r="AH21" s="81"/>
      <c r="AI21" s="81"/>
      <c r="AJ21" s="81"/>
    </row>
    <row r="22" spans="1:36" s="9" customFormat="1" ht="22.35" customHeight="1" x14ac:dyDescent="0.4">
      <c r="A22" s="2467" t="s">
        <v>108</v>
      </c>
      <c r="B22" s="2468"/>
      <c r="C22" s="2468"/>
      <c r="D22" s="37">
        <v>1040</v>
      </c>
      <c r="E22" s="996">
        <v>0</v>
      </c>
      <c r="F22" s="1053">
        <v>0</v>
      </c>
      <c r="G22" s="1053">
        <v>0</v>
      </c>
      <c r="H22" s="1039">
        <f t="shared" si="1"/>
        <v>0</v>
      </c>
      <c r="I22" s="996">
        <v>0</v>
      </c>
      <c r="J22" s="1053">
        <v>0</v>
      </c>
      <c r="K22" s="1040">
        <f t="shared" si="0"/>
        <v>0</v>
      </c>
      <c r="L22" s="845"/>
      <c r="M22" s="845"/>
      <c r="N22" s="605"/>
      <c r="O22" s="81"/>
      <c r="P22" s="81"/>
      <c r="Q22" s="81"/>
      <c r="R22" s="81"/>
      <c r="S22" s="81"/>
      <c r="T22" s="81"/>
      <c r="U22" s="81"/>
      <c r="V22" s="81"/>
      <c r="W22" s="81"/>
      <c r="X22" s="81"/>
      <c r="Y22" s="81"/>
      <c r="Z22" s="81"/>
      <c r="AA22" s="81"/>
      <c r="AB22" s="81"/>
      <c r="AC22" s="81"/>
      <c r="AD22" s="81"/>
      <c r="AE22" s="81"/>
      <c r="AF22" s="81"/>
      <c r="AG22" s="81"/>
      <c r="AH22" s="81"/>
      <c r="AI22" s="81"/>
      <c r="AJ22" s="81"/>
    </row>
    <row r="23" spans="1:36" s="9" customFormat="1" ht="22.35" customHeight="1" x14ac:dyDescent="0.4">
      <c r="A23" s="2467" t="s">
        <v>109</v>
      </c>
      <c r="B23" s="2468"/>
      <c r="C23" s="2468"/>
      <c r="D23" s="37">
        <v>1045</v>
      </c>
      <c r="E23" s="996">
        <v>0</v>
      </c>
      <c r="F23" s="1053">
        <v>0</v>
      </c>
      <c r="G23" s="1053">
        <v>0</v>
      </c>
      <c r="H23" s="1039">
        <f t="shared" si="1"/>
        <v>0</v>
      </c>
      <c r="I23" s="996">
        <v>0</v>
      </c>
      <c r="J23" s="1053">
        <v>0</v>
      </c>
      <c r="K23" s="1040">
        <f t="shared" si="0"/>
        <v>0</v>
      </c>
      <c r="L23" s="845"/>
      <c r="M23" s="845"/>
      <c r="N23" s="1358"/>
      <c r="O23" s="81"/>
      <c r="P23" s="81"/>
      <c r="Q23" s="81"/>
      <c r="R23" s="81"/>
      <c r="S23" s="81"/>
      <c r="T23" s="81"/>
      <c r="U23" s="81"/>
      <c r="V23" s="81"/>
      <c r="W23" s="81"/>
      <c r="X23" s="81"/>
      <c r="Y23" s="81"/>
      <c r="Z23" s="81"/>
      <c r="AA23" s="81"/>
      <c r="AB23" s="81"/>
      <c r="AC23" s="81"/>
      <c r="AD23" s="81"/>
      <c r="AE23" s="81"/>
      <c r="AF23" s="81"/>
      <c r="AG23" s="81"/>
      <c r="AH23" s="81"/>
      <c r="AI23" s="81"/>
      <c r="AJ23" s="81"/>
    </row>
    <row r="24" spans="1:36" s="9" customFormat="1" ht="22.35" customHeight="1" x14ac:dyDescent="0.4">
      <c r="A24" s="2467" t="s">
        <v>110</v>
      </c>
      <c r="B24" s="2468"/>
      <c r="C24" s="2468"/>
      <c r="D24" s="37">
        <v>1090</v>
      </c>
      <c r="E24" s="996">
        <v>0</v>
      </c>
      <c r="F24" s="1053">
        <v>0</v>
      </c>
      <c r="G24" s="1053">
        <v>0</v>
      </c>
      <c r="H24" s="1039">
        <f t="shared" si="1"/>
        <v>0</v>
      </c>
      <c r="I24" s="996">
        <v>0</v>
      </c>
      <c r="J24" s="1053">
        <v>0</v>
      </c>
      <c r="K24" s="1040">
        <f t="shared" si="0"/>
        <v>0</v>
      </c>
      <c r="L24" s="845"/>
      <c r="M24" s="845"/>
      <c r="N24" s="605"/>
      <c r="O24" s="81"/>
      <c r="P24" s="81"/>
      <c r="Q24" s="81"/>
      <c r="R24" s="81"/>
      <c r="S24" s="81"/>
      <c r="T24" s="81"/>
      <c r="U24" s="81"/>
      <c r="V24" s="81"/>
      <c r="W24" s="81"/>
      <c r="X24" s="81"/>
      <c r="Y24" s="81"/>
      <c r="Z24" s="81"/>
      <c r="AA24" s="81"/>
      <c r="AB24" s="81"/>
      <c r="AC24" s="81"/>
      <c r="AD24" s="81"/>
      <c r="AE24" s="81"/>
      <c r="AF24" s="81"/>
      <c r="AG24" s="81"/>
      <c r="AH24" s="81"/>
      <c r="AI24" s="81"/>
      <c r="AJ24" s="81"/>
    </row>
    <row r="25" spans="1:36" s="9" customFormat="1" ht="22.35" customHeight="1" thickBot="1" x14ac:dyDescent="0.4">
      <c r="A25" s="2483" t="s">
        <v>111</v>
      </c>
      <c r="B25" s="2484"/>
      <c r="C25" s="2484"/>
      <c r="D25" s="223">
        <v>1095</v>
      </c>
      <c r="E25" s="1583">
        <f>SUM(E10,E13,E14,E17,E18,E20,E21,E22,E23,E24)</f>
        <v>38595.299999999996</v>
      </c>
      <c r="F25" s="1584">
        <f>SUM(F10,F13,F14,F17,F18,F20,F21,F22,F23,F24)</f>
        <v>0</v>
      </c>
      <c r="G25" s="1584">
        <f>SUM(G10,G13,G14,G17,G18,G20,G21,G22,G23,G24)</f>
        <v>9919.4000000000015</v>
      </c>
      <c r="H25" s="1585">
        <f t="shared" si="1"/>
        <v>48514.7</v>
      </c>
      <c r="I25" s="1583">
        <f>SUM(I10,I13,I14,I17,I18,I20,I21,I22,I23,I24)</f>
        <v>48424.1</v>
      </c>
      <c r="J25" s="1584">
        <f>SUM(J10,J13,J14,J17,J18,J20,J21,J22,J23,J24)</f>
        <v>0</v>
      </c>
      <c r="K25" s="1586">
        <f t="shared" si="0"/>
        <v>48424.1</v>
      </c>
      <c r="L25" s="846"/>
      <c r="M25" s="846"/>
      <c r="N25" s="605"/>
      <c r="O25" s="81"/>
      <c r="P25" s="81"/>
      <c r="Q25" s="81"/>
      <c r="R25" s="81"/>
      <c r="S25" s="81"/>
      <c r="T25" s="81"/>
      <c r="U25" s="81"/>
      <c r="V25" s="81"/>
      <c r="W25" s="81"/>
      <c r="X25" s="81"/>
      <c r="Y25" s="81"/>
      <c r="Z25" s="81"/>
      <c r="AA25" s="81"/>
      <c r="AB25" s="81"/>
      <c r="AC25" s="81"/>
      <c r="AD25" s="81"/>
      <c r="AE25" s="81"/>
      <c r="AF25" s="81"/>
      <c r="AG25" s="81"/>
      <c r="AH25" s="81"/>
      <c r="AI25" s="81"/>
      <c r="AJ25" s="81"/>
    </row>
    <row r="26" spans="1:36" s="9" customFormat="1" ht="22.35" customHeight="1" x14ac:dyDescent="0.35">
      <c r="A26" s="2478" t="s">
        <v>290</v>
      </c>
      <c r="B26" s="2479"/>
      <c r="C26" s="2480"/>
      <c r="D26" s="229"/>
      <c r="E26" s="997"/>
      <c r="F26" s="998"/>
      <c r="G26" s="998"/>
      <c r="H26" s="1590">
        <f t="shared" si="1"/>
        <v>0</v>
      </c>
      <c r="I26" s="997"/>
      <c r="J26" s="998"/>
      <c r="K26" s="1591">
        <f t="shared" si="0"/>
        <v>0</v>
      </c>
      <c r="L26" s="847"/>
      <c r="M26" s="847"/>
      <c r="N26" s="605"/>
      <c r="O26" s="81"/>
      <c r="P26" s="81"/>
      <c r="Q26" s="81"/>
      <c r="R26" s="81"/>
      <c r="S26" s="81"/>
      <c r="T26" s="81"/>
      <c r="U26" s="81"/>
      <c r="V26" s="81"/>
      <c r="W26" s="81"/>
      <c r="X26" s="81"/>
      <c r="Y26" s="81"/>
      <c r="Z26" s="81"/>
      <c r="AA26" s="81"/>
      <c r="AB26" s="81"/>
      <c r="AC26" s="81"/>
      <c r="AD26" s="81"/>
      <c r="AE26" s="81"/>
      <c r="AF26" s="81"/>
      <c r="AG26" s="81"/>
      <c r="AH26" s="81"/>
      <c r="AI26" s="81"/>
      <c r="AJ26" s="81"/>
    </row>
    <row r="27" spans="1:36" s="9" customFormat="1" ht="22.35" customHeight="1" x14ac:dyDescent="0.4">
      <c r="A27" s="2467" t="s">
        <v>47</v>
      </c>
      <c r="B27" s="2468"/>
      <c r="C27" s="2468"/>
      <c r="D27" s="37">
        <v>1100</v>
      </c>
      <c r="E27" s="996">
        <v>28613.1</v>
      </c>
      <c r="F27" s="1053">
        <v>0</v>
      </c>
      <c r="G27" s="1053">
        <v>0</v>
      </c>
      <c r="H27" s="1039">
        <f t="shared" si="1"/>
        <v>28613.1</v>
      </c>
      <c r="I27" s="996">
        <v>31465.5</v>
      </c>
      <c r="J27" s="1053">
        <v>0</v>
      </c>
      <c r="K27" s="1040">
        <f t="shared" si="0"/>
        <v>31465.5</v>
      </c>
      <c r="L27" s="845"/>
      <c r="M27" s="845"/>
      <c r="N27" s="605"/>
      <c r="O27" s="81"/>
      <c r="P27" s="81"/>
      <c r="Q27" s="81"/>
      <c r="R27" s="81"/>
      <c r="S27" s="81"/>
      <c r="T27" s="81"/>
      <c r="U27" s="81"/>
      <c r="V27" s="81"/>
      <c r="W27" s="81"/>
      <c r="X27" s="81"/>
      <c r="Y27" s="81"/>
      <c r="Z27" s="81"/>
      <c r="AA27" s="81"/>
      <c r="AB27" s="81"/>
      <c r="AC27" s="81"/>
      <c r="AD27" s="81"/>
      <c r="AE27" s="81"/>
      <c r="AF27" s="81"/>
      <c r="AG27" s="81"/>
      <c r="AH27" s="81"/>
      <c r="AI27" s="81"/>
      <c r="AJ27" s="81"/>
    </row>
    <row r="28" spans="1:36" s="9" customFormat="1" ht="22.35" customHeight="1" x14ac:dyDescent="0.4">
      <c r="A28" s="2467" t="s">
        <v>112</v>
      </c>
      <c r="B28" s="2468"/>
      <c r="C28" s="2468"/>
      <c r="D28" s="37">
        <v>1110</v>
      </c>
      <c r="E28" s="996">
        <v>0</v>
      </c>
      <c r="F28" s="1053">
        <v>0</v>
      </c>
      <c r="G28" s="1053">
        <v>0</v>
      </c>
      <c r="H28" s="1039">
        <f t="shared" si="1"/>
        <v>0</v>
      </c>
      <c r="I28" s="996">
        <v>0</v>
      </c>
      <c r="J28" s="1053">
        <v>0</v>
      </c>
      <c r="K28" s="1040">
        <f t="shared" si="0"/>
        <v>0</v>
      </c>
      <c r="L28" s="845"/>
      <c r="M28" s="845"/>
      <c r="N28" s="605"/>
      <c r="O28" s="81"/>
      <c r="P28" s="81"/>
      <c r="Q28" s="81"/>
      <c r="R28" s="81"/>
      <c r="S28" s="81"/>
      <c r="T28" s="81"/>
      <c r="U28" s="81"/>
      <c r="V28" s="81"/>
      <c r="W28" s="81"/>
      <c r="X28" s="81"/>
      <c r="Y28" s="81"/>
      <c r="Z28" s="81"/>
      <c r="AA28" s="81"/>
      <c r="AB28" s="81"/>
      <c r="AC28" s="81"/>
      <c r="AD28" s="81"/>
      <c r="AE28" s="81"/>
      <c r="AF28" s="81"/>
      <c r="AG28" s="81"/>
      <c r="AH28" s="81"/>
      <c r="AI28" s="81"/>
      <c r="AJ28" s="81"/>
    </row>
    <row r="29" spans="1:36" s="9" customFormat="1" ht="23.45" customHeight="1" x14ac:dyDescent="0.4">
      <c r="A29" s="2467" t="s">
        <v>113</v>
      </c>
      <c r="B29" s="2468"/>
      <c r="C29" s="2468"/>
      <c r="D29" s="1472">
        <v>1125</v>
      </c>
      <c r="E29" s="996">
        <v>0</v>
      </c>
      <c r="F29" s="1053">
        <v>0</v>
      </c>
      <c r="G29" s="1053">
        <v>0</v>
      </c>
      <c r="H29" s="1039">
        <f t="shared" si="1"/>
        <v>0</v>
      </c>
      <c r="I29" s="996">
        <v>0</v>
      </c>
      <c r="J29" s="1053">
        <v>0</v>
      </c>
      <c r="K29" s="1040">
        <f t="shared" si="0"/>
        <v>0</v>
      </c>
      <c r="L29" s="845"/>
      <c r="M29" s="845"/>
      <c r="N29" s="605"/>
      <c r="O29" s="81"/>
      <c r="P29" s="81"/>
      <c r="Q29" s="81"/>
      <c r="R29" s="81"/>
      <c r="S29" s="81"/>
      <c r="T29" s="81"/>
      <c r="U29" s="81"/>
      <c r="V29" s="81"/>
      <c r="W29" s="81"/>
      <c r="X29" s="81"/>
      <c r="Y29" s="81"/>
      <c r="Z29" s="81"/>
      <c r="AA29" s="81"/>
      <c r="AB29" s="81"/>
      <c r="AC29" s="81"/>
      <c r="AD29" s="81"/>
      <c r="AE29" s="81"/>
      <c r="AF29" s="81"/>
      <c r="AG29" s="81"/>
      <c r="AH29" s="81"/>
      <c r="AI29" s="81"/>
      <c r="AJ29" s="81"/>
    </row>
    <row r="30" spans="1:36" s="9" customFormat="1" ht="22.35" customHeight="1" x14ac:dyDescent="0.3">
      <c r="A30" s="2491" t="s">
        <v>148</v>
      </c>
      <c r="B30" s="2492"/>
      <c r="C30" s="2492"/>
      <c r="D30" s="37"/>
      <c r="E30" s="996">
        <v>0</v>
      </c>
      <c r="F30" s="1053">
        <v>0</v>
      </c>
      <c r="G30" s="1053">
        <v>0</v>
      </c>
      <c r="H30" s="1039">
        <f t="shared" si="1"/>
        <v>0</v>
      </c>
      <c r="I30" s="996">
        <v>0</v>
      </c>
      <c r="J30" s="1053">
        <v>0</v>
      </c>
      <c r="K30" s="1040">
        <f t="shared" si="0"/>
        <v>0</v>
      </c>
      <c r="L30" s="2473" t="s">
        <v>336</v>
      </c>
      <c r="M30" s="2473"/>
      <c r="N30" s="2473"/>
      <c r="O30" s="2473"/>
      <c r="P30" s="1559"/>
      <c r="Q30" s="1565"/>
      <c r="R30" s="1566"/>
      <c r="S30" s="1504"/>
      <c r="T30" s="1565"/>
      <c r="U30" s="1566"/>
      <c r="V30" s="1504"/>
      <c r="W30" s="81"/>
      <c r="X30" s="81"/>
      <c r="Y30" s="81"/>
      <c r="Z30" s="81"/>
      <c r="AA30" s="81"/>
      <c r="AB30" s="81"/>
      <c r="AC30" s="81"/>
      <c r="AD30" s="81"/>
      <c r="AE30" s="81"/>
      <c r="AF30" s="81"/>
      <c r="AG30" s="81"/>
      <c r="AH30" s="81"/>
      <c r="AI30" s="81"/>
      <c r="AJ30" s="81"/>
    </row>
    <row r="31" spans="1:36" s="9" customFormat="1" ht="38.25" customHeight="1" x14ac:dyDescent="0.3">
      <c r="A31" s="2458" t="s">
        <v>1859</v>
      </c>
      <c r="B31" s="2459"/>
      <c r="C31" s="2460"/>
      <c r="D31" s="37"/>
      <c r="E31" s="996">
        <v>0</v>
      </c>
      <c r="F31" s="1053">
        <v>0</v>
      </c>
      <c r="G31" s="1053">
        <v>0</v>
      </c>
      <c r="H31" s="1039">
        <f t="shared" si="1"/>
        <v>0</v>
      </c>
      <c r="I31" s="996">
        <v>0</v>
      </c>
      <c r="J31" s="1053">
        <v>0</v>
      </c>
      <c r="K31" s="1040">
        <f t="shared" si="0"/>
        <v>0</v>
      </c>
      <c r="L31" s="1563"/>
      <c r="M31" s="1563"/>
      <c r="N31" s="1563"/>
      <c r="O31" s="1563"/>
      <c r="P31" s="233"/>
      <c r="Q31" s="1560"/>
      <c r="R31" s="1561"/>
      <c r="S31" s="1562"/>
      <c r="T31" s="1560"/>
      <c r="U31" s="1561"/>
      <c r="V31" s="1562"/>
      <c r="W31" s="81"/>
      <c r="X31" s="81"/>
      <c r="Y31" s="81"/>
      <c r="Z31" s="81"/>
      <c r="AA31" s="81"/>
      <c r="AB31" s="81"/>
      <c r="AC31" s="81"/>
      <c r="AD31" s="81"/>
      <c r="AE31" s="81"/>
      <c r="AF31" s="81"/>
      <c r="AG31" s="81"/>
      <c r="AH31" s="81"/>
      <c r="AI31" s="81"/>
      <c r="AJ31" s="81"/>
    </row>
    <row r="32" spans="1:36" s="9" customFormat="1" ht="24" customHeight="1" x14ac:dyDescent="0.4">
      <c r="A32" s="2467" t="s">
        <v>335</v>
      </c>
      <c r="B32" s="2468"/>
      <c r="C32" s="2468"/>
      <c r="D32" s="37"/>
      <c r="E32" s="996">
        <v>0</v>
      </c>
      <c r="F32" s="1053">
        <v>0</v>
      </c>
      <c r="G32" s="1053">
        <v>0</v>
      </c>
      <c r="H32" s="1039">
        <f t="shared" si="1"/>
        <v>0</v>
      </c>
      <c r="I32" s="996">
        <v>0</v>
      </c>
      <c r="J32" s="1053">
        <v>0</v>
      </c>
      <c r="K32" s="1040">
        <f t="shared" si="0"/>
        <v>0</v>
      </c>
      <c r="L32" s="845"/>
      <c r="M32" s="845"/>
      <c r="N32" s="605"/>
      <c r="O32" s="81"/>
      <c r="P32" s="81"/>
      <c r="Q32" s="81"/>
      <c r="R32" s="81"/>
      <c r="S32" s="81"/>
      <c r="T32" s="81"/>
      <c r="U32" s="81"/>
      <c r="V32" s="81"/>
      <c r="W32" s="81"/>
      <c r="X32" s="81"/>
      <c r="Y32" s="81"/>
      <c r="Z32" s="81"/>
      <c r="AA32" s="81"/>
      <c r="AB32" s="81"/>
      <c r="AC32" s="81"/>
      <c r="AD32" s="81"/>
      <c r="AE32" s="81"/>
      <c r="AF32" s="81"/>
      <c r="AG32" s="81"/>
      <c r="AH32" s="81"/>
      <c r="AI32" s="81"/>
      <c r="AJ32" s="81"/>
    </row>
    <row r="33" spans="1:36" s="9" customFormat="1" ht="22.35" customHeight="1" x14ac:dyDescent="0.4">
      <c r="A33" s="2467" t="s">
        <v>114</v>
      </c>
      <c r="B33" s="2468"/>
      <c r="C33" s="2468"/>
      <c r="D33" s="1472">
        <v>1130</v>
      </c>
      <c r="E33" s="996">
        <v>0</v>
      </c>
      <c r="F33" s="1053">
        <v>0</v>
      </c>
      <c r="G33" s="1053">
        <v>0</v>
      </c>
      <c r="H33" s="1039">
        <f t="shared" si="1"/>
        <v>0</v>
      </c>
      <c r="I33" s="996">
        <v>0</v>
      </c>
      <c r="J33" s="1053">
        <v>0</v>
      </c>
      <c r="K33" s="1040">
        <f t="shared" si="0"/>
        <v>0</v>
      </c>
      <c r="L33" s="845"/>
      <c r="M33" s="845"/>
      <c r="N33" s="605"/>
      <c r="O33" s="81"/>
      <c r="P33" s="81"/>
      <c r="Q33" s="81"/>
      <c r="R33" s="81"/>
      <c r="S33" s="81"/>
      <c r="T33" s="81"/>
      <c r="U33" s="81"/>
      <c r="V33" s="81"/>
      <c r="W33" s="81"/>
      <c r="X33" s="81"/>
      <c r="Y33" s="81"/>
      <c r="Z33" s="81"/>
      <c r="AA33" s="81"/>
      <c r="AB33" s="81"/>
      <c r="AC33" s="81"/>
      <c r="AD33" s="81"/>
      <c r="AE33" s="81"/>
      <c r="AF33" s="81"/>
      <c r="AG33" s="81"/>
      <c r="AH33" s="81"/>
      <c r="AI33" s="81"/>
      <c r="AJ33" s="81"/>
    </row>
    <row r="34" spans="1:36" s="9" customFormat="1" ht="22.35" customHeight="1" x14ac:dyDescent="0.4">
      <c r="A34" s="2467" t="s">
        <v>115</v>
      </c>
      <c r="B34" s="2468"/>
      <c r="C34" s="2468"/>
      <c r="D34" s="1472">
        <v>1135</v>
      </c>
      <c r="E34" s="996">
        <v>3.9</v>
      </c>
      <c r="F34" s="1053">
        <v>0</v>
      </c>
      <c r="G34" s="1053">
        <v>0</v>
      </c>
      <c r="H34" s="1039">
        <f t="shared" si="1"/>
        <v>3.9</v>
      </c>
      <c r="I34" s="996">
        <v>3.9</v>
      </c>
      <c r="J34" s="1053">
        <v>0</v>
      </c>
      <c r="K34" s="1040">
        <f t="shared" si="0"/>
        <v>3.9</v>
      </c>
      <c r="L34" s="845"/>
      <c r="M34" s="845"/>
      <c r="N34" s="605"/>
      <c r="O34" s="81"/>
      <c r="P34" s="81"/>
      <c r="Q34" s="81"/>
      <c r="R34" s="81"/>
      <c r="S34" s="81"/>
      <c r="T34" s="81"/>
      <c r="U34" s="81"/>
      <c r="V34" s="81"/>
      <c r="W34" s="81"/>
      <c r="X34" s="81"/>
      <c r="Y34" s="81"/>
      <c r="Z34" s="81"/>
      <c r="AA34" s="81"/>
      <c r="AB34" s="81"/>
      <c r="AC34" s="81"/>
      <c r="AD34" s="81"/>
      <c r="AE34" s="81"/>
      <c r="AF34" s="81"/>
      <c r="AG34" s="81"/>
      <c r="AH34" s="81"/>
      <c r="AI34" s="81"/>
      <c r="AJ34" s="81"/>
    </row>
    <row r="35" spans="1:36" s="9" customFormat="1" ht="22.35" customHeight="1" x14ac:dyDescent="0.4">
      <c r="A35" s="2469" t="s">
        <v>116</v>
      </c>
      <c r="B35" s="2470"/>
      <c r="C35" s="2470"/>
      <c r="D35" s="39">
        <v>1136</v>
      </c>
      <c r="E35" s="996">
        <v>0</v>
      </c>
      <c r="F35" s="1053">
        <v>0</v>
      </c>
      <c r="G35" s="1053">
        <v>0</v>
      </c>
      <c r="H35" s="1039">
        <f t="shared" si="1"/>
        <v>0</v>
      </c>
      <c r="I35" s="996">
        <v>0</v>
      </c>
      <c r="J35" s="1053">
        <v>0</v>
      </c>
      <c r="K35" s="1040">
        <f t="shared" si="0"/>
        <v>0</v>
      </c>
      <c r="L35" s="845"/>
      <c r="M35" s="845"/>
      <c r="N35" s="605"/>
      <c r="O35" s="81"/>
      <c r="P35" s="81"/>
      <c r="Q35" s="81"/>
      <c r="R35" s="81"/>
      <c r="S35" s="81"/>
      <c r="T35" s="81"/>
      <c r="U35" s="81"/>
      <c r="V35" s="81"/>
      <c r="W35" s="81"/>
      <c r="X35" s="81"/>
      <c r="Y35" s="81"/>
      <c r="Z35" s="81"/>
      <c r="AA35" s="81"/>
      <c r="AB35" s="81"/>
      <c r="AC35" s="81"/>
      <c r="AD35" s="81"/>
      <c r="AE35" s="81"/>
      <c r="AF35" s="81"/>
      <c r="AG35" s="81"/>
      <c r="AH35" s="81"/>
      <c r="AI35" s="81"/>
      <c r="AJ35" s="81"/>
    </row>
    <row r="36" spans="1:36" s="9" customFormat="1" ht="22.35" customHeight="1" x14ac:dyDescent="0.4">
      <c r="A36" s="2467" t="s">
        <v>815</v>
      </c>
      <c r="B36" s="2468"/>
      <c r="C36" s="2468"/>
      <c r="D36" s="1472">
        <v>1155</v>
      </c>
      <c r="E36" s="996">
        <f>495.8</f>
        <v>495.8</v>
      </c>
      <c r="F36" s="1053">
        <v>0</v>
      </c>
      <c r="G36" s="1053">
        <v>0</v>
      </c>
      <c r="H36" s="1039">
        <f t="shared" si="1"/>
        <v>495.8</v>
      </c>
      <c r="I36" s="996">
        <f>153.2+226</f>
        <v>379.2</v>
      </c>
      <c r="J36" s="1053">
        <v>0</v>
      </c>
      <c r="K36" s="1040">
        <f t="shared" si="0"/>
        <v>379.2</v>
      </c>
      <c r="L36" s="845"/>
      <c r="M36" s="845"/>
      <c r="N36" s="605"/>
      <c r="O36" s="81"/>
      <c r="P36" s="81"/>
      <c r="Q36" s="81"/>
      <c r="R36" s="81"/>
      <c r="S36" s="81"/>
      <c r="T36" s="81"/>
      <c r="U36" s="81"/>
      <c r="V36" s="81"/>
      <c r="W36" s="81"/>
      <c r="X36" s="81"/>
      <c r="Y36" s="81"/>
      <c r="Z36" s="81"/>
      <c r="AA36" s="81"/>
      <c r="AB36" s="81"/>
      <c r="AC36" s="81"/>
      <c r="AD36" s="81"/>
      <c r="AE36" s="81"/>
      <c r="AF36" s="81"/>
      <c r="AG36" s="81"/>
      <c r="AH36" s="81"/>
      <c r="AI36" s="81"/>
      <c r="AJ36" s="81"/>
    </row>
    <row r="37" spans="1:36" s="9" customFormat="1" ht="22.35" customHeight="1" x14ac:dyDescent="0.4">
      <c r="A37" s="2476" t="s">
        <v>816</v>
      </c>
      <c r="B37" s="2477"/>
      <c r="C37" s="2477"/>
      <c r="D37" s="129"/>
      <c r="E37" s="996">
        <v>269.8</v>
      </c>
      <c r="F37" s="1053">
        <v>0</v>
      </c>
      <c r="G37" s="1053">
        <v>0</v>
      </c>
      <c r="H37" s="1039">
        <f t="shared" si="1"/>
        <v>269.8</v>
      </c>
      <c r="I37" s="996">
        <v>153.19999999999999</v>
      </c>
      <c r="J37" s="1053">
        <v>0</v>
      </c>
      <c r="K37" s="1040">
        <f t="shared" si="0"/>
        <v>153.19999999999999</v>
      </c>
      <c r="L37" s="845"/>
      <c r="M37" s="845"/>
      <c r="N37" s="81">
        <v>378</v>
      </c>
      <c r="O37" s="81"/>
      <c r="P37" s="81"/>
      <c r="Q37" s="81"/>
      <c r="R37" s="81"/>
      <c r="S37" s="81"/>
      <c r="T37" s="81"/>
      <c r="U37" s="81"/>
      <c r="V37" s="81"/>
      <c r="W37" s="81"/>
      <c r="X37" s="81"/>
      <c r="Y37" s="81"/>
      <c r="Z37" s="81"/>
      <c r="AA37" s="81"/>
      <c r="AB37" s="81"/>
      <c r="AC37" s="81"/>
      <c r="AD37" s="81"/>
      <c r="AE37" s="81"/>
      <c r="AF37" s="81"/>
      <c r="AG37" s="81"/>
      <c r="AH37" s="81"/>
      <c r="AI37" s="81"/>
      <c r="AJ37" s="81"/>
    </row>
    <row r="38" spans="1:36" s="9" customFormat="1" ht="43.5" customHeight="1" x14ac:dyDescent="0.4">
      <c r="A38" s="2497" t="s">
        <v>844</v>
      </c>
      <c r="B38" s="2498"/>
      <c r="C38" s="2498"/>
      <c r="D38" s="129"/>
      <c r="E38" s="996">
        <v>0</v>
      </c>
      <c r="F38" s="1053">
        <v>0</v>
      </c>
      <c r="G38" s="1053">
        <v>0</v>
      </c>
      <c r="H38" s="1039">
        <f t="shared" si="1"/>
        <v>0</v>
      </c>
      <c r="I38" s="996">
        <v>0</v>
      </c>
      <c r="J38" s="1053">
        <v>0</v>
      </c>
      <c r="K38" s="1040">
        <f t="shared" si="0"/>
        <v>0</v>
      </c>
      <c r="L38" s="848">
        <v>3</v>
      </c>
      <c r="M38" s="848"/>
      <c r="N38" s="81">
        <v>377</v>
      </c>
      <c r="O38" s="81"/>
      <c r="P38" s="81"/>
      <c r="Q38" s="81"/>
      <c r="R38" s="81"/>
      <c r="S38" s="81"/>
      <c r="T38" s="81"/>
      <c r="U38" s="81"/>
      <c r="V38" s="81"/>
      <c r="W38" s="81"/>
      <c r="X38" s="81"/>
      <c r="Y38" s="81"/>
      <c r="Z38" s="81"/>
      <c r="AA38" s="81"/>
      <c r="AB38" s="81"/>
      <c r="AC38" s="81"/>
      <c r="AD38" s="81"/>
      <c r="AE38" s="81"/>
      <c r="AF38" s="81"/>
      <c r="AG38" s="81"/>
      <c r="AH38" s="81"/>
      <c r="AI38" s="81"/>
      <c r="AJ38" s="81"/>
    </row>
    <row r="39" spans="1:36" s="9" customFormat="1" ht="42" customHeight="1" x14ac:dyDescent="0.4">
      <c r="A39" s="2497" t="s">
        <v>829</v>
      </c>
      <c r="B39" s="2498"/>
      <c r="C39" s="2498"/>
      <c r="D39" s="129"/>
      <c r="E39" s="996">
        <v>226</v>
      </c>
      <c r="F39" s="1053">
        <v>0</v>
      </c>
      <c r="G39" s="1053">
        <v>0</v>
      </c>
      <c r="H39" s="1039">
        <f t="shared" si="1"/>
        <v>226</v>
      </c>
      <c r="I39" s="996">
        <v>226</v>
      </c>
      <c r="J39" s="1053">
        <v>0</v>
      </c>
      <c r="K39" s="1040">
        <f t="shared" si="0"/>
        <v>226</v>
      </c>
      <c r="L39" s="848">
        <v>4</v>
      </c>
      <c r="M39" s="848"/>
      <c r="N39" s="605"/>
      <c r="O39" s="81"/>
      <c r="P39" s="81"/>
      <c r="Q39" s="81"/>
      <c r="R39" s="81"/>
      <c r="S39" s="81"/>
      <c r="T39" s="81"/>
      <c r="U39" s="81"/>
      <c r="V39" s="81"/>
      <c r="W39" s="81"/>
      <c r="X39" s="81"/>
      <c r="Y39" s="81"/>
      <c r="Z39" s="81"/>
      <c r="AA39" s="81"/>
      <c r="AB39" s="81"/>
      <c r="AC39" s="81"/>
      <c r="AD39" s="81"/>
      <c r="AE39" s="81"/>
      <c r="AF39" s="81"/>
      <c r="AG39" s="81"/>
      <c r="AH39" s="81"/>
      <c r="AI39" s="81"/>
      <c r="AJ39" s="81"/>
    </row>
    <row r="40" spans="1:36" s="9" customFormat="1" ht="22.35" customHeight="1" x14ac:dyDescent="0.4">
      <c r="A40" s="2467" t="s">
        <v>117</v>
      </c>
      <c r="B40" s="2468"/>
      <c r="C40" s="2468"/>
      <c r="D40" s="1472">
        <v>1160</v>
      </c>
      <c r="E40" s="996">
        <v>0</v>
      </c>
      <c r="F40" s="1053">
        <v>0</v>
      </c>
      <c r="G40" s="1053">
        <v>0</v>
      </c>
      <c r="H40" s="1039">
        <f t="shared" si="1"/>
        <v>0</v>
      </c>
      <c r="I40" s="996">
        <v>0</v>
      </c>
      <c r="J40" s="1053">
        <v>0</v>
      </c>
      <c r="K40" s="1040">
        <f t="shared" si="0"/>
        <v>0</v>
      </c>
      <c r="L40" s="845"/>
      <c r="M40" s="845"/>
      <c r="N40" s="605"/>
      <c r="O40" s="81"/>
      <c r="P40" s="81"/>
      <c r="Q40" s="81"/>
      <c r="R40" s="81"/>
      <c r="S40" s="81"/>
      <c r="T40" s="81"/>
      <c r="U40" s="81"/>
      <c r="V40" s="81"/>
      <c r="W40" s="81"/>
      <c r="X40" s="81"/>
      <c r="Y40" s="81"/>
      <c r="Z40" s="81"/>
      <c r="AA40" s="81"/>
      <c r="AB40" s="81"/>
      <c r="AC40" s="81"/>
      <c r="AD40" s="81"/>
      <c r="AE40" s="81"/>
      <c r="AF40" s="81"/>
      <c r="AG40" s="81"/>
      <c r="AH40" s="81"/>
      <c r="AI40" s="81"/>
      <c r="AJ40" s="81"/>
    </row>
    <row r="41" spans="1:36" s="9" customFormat="1" ht="22.35" customHeight="1" x14ac:dyDescent="0.4">
      <c r="A41" s="2467" t="s">
        <v>118</v>
      </c>
      <c r="B41" s="2468"/>
      <c r="C41" s="2468"/>
      <c r="D41" s="1472">
        <v>1165</v>
      </c>
      <c r="E41" s="996">
        <v>3908.7</v>
      </c>
      <c r="F41" s="1053">
        <v>0</v>
      </c>
      <c r="G41" s="1053">
        <v>0</v>
      </c>
      <c r="H41" s="1039">
        <f t="shared" si="1"/>
        <v>3908.7</v>
      </c>
      <c r="I41" s="996">
        <v>811.6</v>
      </c>
      <c r="J41" s="1053">
        <v>0</v>
      </c>
      <c r="K41" s="1040">
        <f t="shared" si="0"/>
        <v>811.6</v>
      </c>
      <c r="L41" s="845"/>
      <c r="M41" s="845"/>
      <c r="N41" s="605"/>
      <c r="O41" s="81"/>
      <c r="P41" s="81"/>
      <c r="Q41" s="81"/>
      <c r="R41" s="81"/>
      <c r="S41" s="81"/>
      <c r="T41" s="81"/>
      <c r="U41" s="81"/>
      <c r="V41" s="81"/>
      <c r="W41" s="81"/>
      <c r="X41" s="81"/>
      <c r="Y41" s="81"/>
      <c r="Z41" s="81"/>
      <c r="AA41" s="81"/>
      <c r="AB41" s="81"/>
      <c r="AC41" s="81"/>
      <c r="AD41" s="81"/>
      <c r="AE41" s="81"/>
      <c r="AF41" s="81"/>
      <c r="AG41" s="81"/>
      <c r="AH41" s="81"/>
      <c r="AI41" s="81"/>
      <c r="AJ41" s="81"/>
    </row>
    <row r="42" spans="1:36" s="9" customFormat="1" ht="22.35" customHeight="1" x14ac:dyDescent="0.4">
      <c r="A42" s="2467" t="s">
        <v>119</v>
      </c>
      <c r="B42" s="2468"/>
      <c r="C42" s="2468"/>
      <c r="D42" s="1472">
        <v>1170</v>
      </c>
      <c r="E42" s="996">
        <v>4.7</v>
      </c>
      <c r="F42" s="1053">
        <v>0</v>
      </c>
      <c r="G42" s="1053">
        <v>0</v>
      </c>
      <c r="H42" s="1039">
        <f t="shared" si="1"/>
        <v>4.7</v>
      </c>
      <c r="I42" s="996">
        <v>4.7</v>
      </c>
      <c r="J42" s="1053">
        <v>0</v>
      </c>
      <c r="K42" s="1040">
        <f t="shared" si="0"/>
        <v>4.7</v>
      </c>
      <c r="L42" s="845"/>
      <c r="M42" s="845"/>
      <c r="Y42" s="81"/>
      <c r="Z42" s="81"/>
      <c r="AA42" s="81"/>
      <c r="AB42" s="81"/>
      <c r="AC42" s="81"/>
      <c r="AD42" s="81"/>
      <c r="AE42" s="81"/>
      <c r="AF42" s="81"/>
      <c r="AG42" s="81"/>
      <c r="AH42" s="81"/>
      <c r="AI42" s="81"/>
      <c r="AJ42" s="81"/>
    </row>
    <row r="43" spans="1:36" s="9" customFormat="1" ht="22.35" customHeight="1" x14ac:dyDescent="0.4">
      <c r="A43" s="2467" t="s">
        <v>120</v>
      </c>
      <c r="B43" s="2468"/>
      <c r="C43" s="2468"/>
      <c r="D43" s="1472">
        <v>1190</v>
      </c>
      <c r="E43" s="996">
        <v>0</v>
      </c>
      <c r="F43" s="1053">
        <v>0</v>
      </c>
      <c r="G43" s="1053">
        <v>0</v>
      </c>
      <c r="H43" s="1039">
        <f t="shared" si="1"/>
        <v>0</v>
      </c>
      <c r="I43" s="996">
        <v>0</v>
      </c>
      <c r="J43" s="1053">
        <v>0</v>
      </c>
      <c r="K43" s="1040">
        <f t="shared" si="0"/>
        <v>0</v>
      </c>
      <c r="L43" s="845"/>
      <c r="M43" s="845"/>
      <c r="Y43" s="81"/>
      <c r="Z43" s="81"/>
      <c r="AA43" s="81"/>
      <c r="AB43" s="81"/>
      <c r="AC43" s="81"/>
      <c r="AD43" s="81"/>
      <c r="AE43" s="81"/>
      <c r="AF43" s="81"/>
      <c r="AG43" s="81"/>
      <c r="AH43" s="81"/>
      <c r="AI43" s="81"/>
      <c r="AJ43" s="81"/>
    </row>
    <row r="44" spans="1:36" s="9" customFormat="1" ht="26.1" customHeight="1" thickBot="1" x14ac:dyDescent="0.4">
      <c r="A44" s="2483" t="s">
        <v>121</v>
      </c>
      <c r="B44" s="2484"/>
      <c r="C44" s="2484"/>
      <c r="D44" s="223">
        <v>1195</v>
      </c>
      <c r="E44" s="1044">
        <f>SUM(E27,E28,E29,E33,E34,E40,E41,E42,E43,E36)</f>
        <v>33026.200000000004</v>
      </c>
      <c r="F44" s="1044">
        <f>SUM(F27,F28,F29,F33,F34,F40,F41,F42,F43,F36)</f>
        <v>0</v>
      </c>
      <c r="G44" s="1044">
        <f>SUM(G27,G28,G29,G33,G34,G40,G41,G42,G43,G36)</f>
        <v>0</v>
      </c>
      <c r="H44" s="1585">
        <f t="shared" si="1"/>
        <v>33026.199999999997</v>
      </c>
      <c r="I44" s="1044">
        <f>SUM(I27,I28,I29,I33,I34,I40,I41,I42,I43,I36)</f>
        <v>32664.9</v>
      </c>
      <c r="J44" s="1044">
        <f>SUM(J27,J28,J29,J33,J34,J40,J41,J42,J43,J36)</f>
        <v>0</v>
      </c>
      <c r="K44" s="1586">
        <f t="shared" si="0"/>
        <v>32664.9</v>
      </c>
      <c r="L44" s="846"/>
      <c r="M44" s="846"/>
      <c r="N44" s="605"/>
      <c r="O44" s="81"/>
      <c r="P44" s="81"/>
      <c r="Q44" s="81"/>
      <c r="R44" s="81"/>
      <c r="S44" s="81"/>
      <c r="T44" s="81"/>
      <c r="U44" s="81"/>
      <c r="V44" s="81"/>
      <c r="W44" s="81"/>
      <c r="X44" s="81"/>
      <c r="Y44" s="81"/>
      <c r="Z44" s="81"/>
      <c r="AA44" s="81"/>
      <c r="AB44" s="81"/>
      <c r="AC44" s="81"/>
      <c r="AD44" s="81"/>
      <c r="AE44" s="81"/>
      <c r="AF44" s="81"/>
      <c r="AG44" s="81"/>
      <c r="AH44" s="81"/>
      <c r="AI44" s="81"/>
      <c r="AJ44" s="81"/>
    </row>
    <row r="45" spans="1:36" s="9" customFormat="1" ht="27" customHeight="1" thickBot="1" x14ac:dyDescent="0.4">
      <c r="A45" s="2489" t="s">
        <v>122</v>
      </c>
      <c r="B45" s="2490"/>
      <c r="C45" s="2490"/>
      <c r="D45" s="1587">
        <v>1200</v>
      </c>
      <c r="E45" s="1588">
        <v>0</v>
      </c>
      <c r="F45" s="1589">
        <v>0</v>
      </c>
      <c r="G45" s="1589">
        <v>0</v>
      </c>
      <c r="H45" s="1581">
        <f t="shared" si="1"/>
        <v>0</v>
      </c>
      <c r="I45" s="1588">
        <v>0</v>
      </c>
      <c r="J45" s="1589">
        <v>0</v>
      </c>
      <c r="K45" s="1582">
        <f t="shared" si="0"/>
        <v>0</v>
      </c>
      <c r="L45" s="1634">
        <f>'Звіт   9'!H29+'Звіт   9'!H33+'Звіт   9'!H34+'Звіт   9'!H36+'Звіт   9'!H40+'Звіт   9'!H41+'Звіт   9'!H42+'Звіт   9'!H43</f>
        <v>4413.0999999999995</v>
      </c>
      <c r="M45" s="1634">
        <f>'Звіт   9'!$K$29+'Звіт   9'!$K$33+'Звіт   9'!$K$34+'Звіт   9'!$K$36+'Звіт   9'!$K$40+'Звіт   9'!$K$41+'Звіт   9'!$K$42+'Звіт   9'!$K$43</f>
        <v>1199.4000000000001</v>
      </c>
      <c r="N45" s="605"/>
      <c r="O45" s="81"/>
      <c r="P45" s="81"/>
      <c r="Q45" s="81"/>
      <c r="R45" s="81"/>
      <c r="S45" s="81"/>
      <c r="T45" s="81"/>
      <c r="U45" s="81"/>
      <c r="V45" s="81"/>
      <c r="W45" s="81"/>
      <c r="X45" s="81"/>
      <c r="Y45" s="81"/>
      <c r="Z45" s="81"/>
      <c r="AA45" s="81"/>
      <c r="AB45" s="81"/>
      <c r="AC45" s="81"/>
      <c r="AD45" s="81"/>
      <c r="AE45" s="81"/>
      <c r="AF45" s="81"/>
      <c r="AG45" s="81"/>
      <c r="AH45" s="81"/>
      <c r="AI45" s="81"/>
      <c r="AJ45" s="81"/>
    </row>
    <row r="46" spans="1:36" s="9" customFormat="1" ht="28.15" customHeight="1" thickBot="1" x14ac:dyDescent="0.4">
      <c r="A46" s="2503" t="s">
        <v>123</v>
      </c>
      <c r="B46" s="2504"/>
      <c r="C46" s="2504"/>
      <c r="D46" s="1045">
        <v>1300</v>
      </c>
      <c r="E46" s="1046">
        <f>SUM(E25,E44,E45)</f>
        <v>71621.5</v>
      </c>
      <c r="F46" s="1047">
        <f>SUM(F25,F44,F45)</f>
        <v>0</v>
      </c>
      <c r="G46" s="1047">
        <f>SUM(G25,G44,G45)</f>
        <v>9919.4000000000015</v>
      </c>
      <c r="H46" s="1039">
        <f t="shared" si="1"/>
        <v>81540.899999999994</v>
      </c>
      <c r="I46" s="1046">
        <f>SUM(I25,I44,I45)</f>
        <v>81089</v>
      </c>
      <c r="J46" s="1047">
        <f>SUM(J25,J44,J45)</f>
        <v>0</v>
      </c>
      <c r="K46" s="1040">
        <f t="shared" si="0"/>
        <v>81089</v>
      </c>
      <c r="L46" s="849"/>
      <c r="M46" s="849"/>
      <c r="N46" s="1491"/>
      <c r="O46" s="81"/>
      <c r="P46" s="81"/>
      <c r="Q46" s="81"/>
      <c r="R46" s="81"/>
      <c r="S46" s="81"/>
      <c r="T46" s="81"/>
      <c r="U46" s="81"/>
      <c r="V46" s="81"/>
      <c r="W46" s="81"/>
      <c r="X46" s="81"/>
      <c r="Y46" s="81"/>
      <c r="Z46" s="81"/>
      <c r="AA46" s="81"/>
      <c r="AB46" s="81"/>
      <c r="AC46" s="81"/>
      <c r="AD46" s="81"/>
      <c r="AE46" s="81"/>
      <c r="AF46" s="81"/>
      <c r="AG46" s="81"/>
      <c r="AH46" s="81"/>
      <c r="AI46" s="81"/>
      <c r="AJ46" s="81"/>
    </row>
    <row r="47" spans="1:36" s="9" customFormat="1" ht="45.6" customHeight="1" x14ac:dyDescent="0.3">
      <c r="A47" s="2471" t="s">
        <v>124</v>
      </c>
      <c r="B47" s="2472"/>
      <c r="C47" s="2472"/>
      <c r="D47" s="319" t="str">
        <f>D7</f>
        <v>Код рядка</v>
      </c>
      <c r="E47" s="1000" t="s">
        <v>98</v>
      </c>
      <c r="F47" s="1001" t="str">
        <f t="shared" ref="F47:K48" si="2">F7</f>
        <v xml:space="preserve">Коригування </v>
      </c>
      <c r="G47" s="1001" t="str">
        <f t="shared" si="2"/>
        <v>З балансу на баланс у звітному періоді</v>
      </c>
      <c r="H47" s="1001" t="str">
        <f t="shared" si="2"/>
        <v>На початок звітного періоду з урахуванням коригування та прийняття на баланс</v>
      </c>
      <c r="I47" s="1000" t="str">
        <f t="shared" si="2"/>
        <v>На кінець звітного періоду</v>
      </c>
      <c r="J47" s="1001" t="str">
        <f t="shared" si="2"/>
        <v xml:space="preserve">Коригування </v>
      </c>
      <c r="K47" s="1595" t="str">
        <f t="shared" si="2"/>
        <v>На кінець звітного періоду з урахуванням коригування</v>
      </c>
      <c r="L47" s="2539" t="s">
        <v>1817</v>
      </c>
      <c r="M47" s="2539"/>
      <c r="N47" s="1492"/>
      <c r="O47" s="81"/>
      <c r="P47" s="81"/>
      <c r="Q47" s="81"/>
      <c r="R47" s="81"/>
      <c r="S47" s="81"/>
      <c r="T47" s="81"/>
      <c r="U47" s="81"/>
      <c r="V47" s="81"/>
      <c r="W47" s="81"/>
      <c r="X47" s="81"/>
      <c r="Y47" s="81"/>
      <c r="Z47" s="81"/>
      <c r="AA47" s="81"/>
      <c r="AB47" s="81"/>
      <c r="AC47" s="81"/>
      <c r="AD47" s="81"/>
      <c r="AE47" s="81"/>
      <c r="AF47" s="81"/>
      <c r="AG47" s="81"/>
      <c r="AH47" s="81"/>
      <c r="AI47" s="81"/>
      <c r="AJ47" s="81"/>
    </row>
    <row r="48" spans="1:36" s="9" customFormat="1" ht="22.35" customHeight="1" thickBot="1" x14ac:dyDescent="0.35">
      <c r="A48" s="2513">
        <f>A8</f>
        <v>1</v>
      </c>
      <c r="B48" s="2514"/>
      <c r="C48" s="2515"/>
      <c r="D48" s="320">
        <f>D8</f>
        <v>2</v>
      </c>
      <c r="E48" s="1002">
        <f>E8</f>
        <v>3</v>
      </c>
      <c r="F48" s="1055">
        <f t="shared" si="2"/>
        <v>4</v>
      </c>
      <c r="G48" s="1055" t="str">
        <f t="shared" si="2"/>
        <v>4а</v>
      </c>
      <c r="H48" s="1055">
        <f t="shared" si="2"/>
        <v>5</v>
      </c>
      <c r="I48" s="1002">
        <f t="shared" si="2"/>
        <v>6</v>
      </c>
      <c r="J48" s="1055">
        <f t="shared" si="2"/>
        <v>7</v>
      </c>
      <c r="K48" s="1596">
        <f t="shared" si="2"/>
        <v>8</v>
      </c>
      <c r="L48" s="1636">
        <f>('Звіт 10, 11,12,13,14'!K20-'Звіт 10, 11,12,13,14'!K21)/1000</f>
        <v>24482.084999999999</v>
      </c>
      <c r="M48" s="1636">
        <f>('Звіт 10, 11,12,13,14'!AE20-'Звіт 10, 11,12,13,14'!AE21)/1000</f>
        <v>24482.084999999999</v>
      </c>
      <c r="N48" s="1493"/>
      <c r="O48" s="81"/>
      <c r="P48" s="81"/>
      <c r="Q48" s="81"/>
      <c r="R48" s="81"/>
      <c r="S48" s="81"/>
      <c r="T48" s="81"/>
      <c r="U48" s="81"/>
      <c r="V48" s="81"/>
      <c r="W48" s="81"/>
      <c r="X48" s="81"/>
      <c r="Y48" s="81"/>
      <c r="Z48" s="81"/>
      <c r="AA48" s="81"/>
      <c r="AB48" s="81"/>
      <c r="AC48" s="81"/>
      <c r="AD48" s="81"/>
      <c r="AE48" s="81"/>
      <c r="AF48" s="81"/>
      <c r="AG48" s="81"/>
      <c r="AH48" s="81"/>
      <c r="AI48" s="81"/>
      <c r="AJ48" s="81"/>
    </row>
    <row r="49" spans="1:36" s="9" customFormat="1" ht="22.35" customHeight="1" x14ac:dyDescent="0.35">
      <c r="A49" s="2516" t="s">
        <v>291</v>
      </c>
      <c r="B49" s="2517"/>
      <c r="C49" s="2517"/>
      <c r="D49" s="40"/>
      <c r="E49" s="1003"/>
      <c r="F49" s="1004"/>
      <c r="G49" s="1004"/>
      <c r="H49" s="1004"/>
      <c r="I49" s="1004"/>
      <c r="J49" s="1004"/>
      <c r="K49" s="1597"/>
      <c r="L49" s="1637" t="s">
        <v>1816</v>
      </c>
      <c r="M49" s="1638">
        <f>H50-K50</f>
        <v>0</v>
      </c>
      <c r="N49" s="1494"/>
      <c r="O49" s="81"/>
      <c r="P49" s="81"/>
      <c r="Q49" s="81"/>
      <c r="R49" s="81"/>
      <c r="S49" s="81"/>
      <c r="T49" s="81"/>
      <c r="U49" s="81"/>
      <c r="V49" s="81"/>
      <c r="W49" s="81"/>
      <c r="X49" s="81"/>
      <c r="Y49" s="81"/>
      <c r="Z49" s="81"/>
      <c r="AA49" s="81"/>
      <c r="AB49" s="81"/>
      <c r="AC49" s="81"/>
      <c r="AD49" s="81"/>
      <c r="AE49" s="81"/>
      <c r="AF49" s="81"/>
      <c r="AG49" s="81"/>
      <c r="AH49" s="81"/>
      <c r="AI49" s="81"/>
      <c r="AJ49" s="81"/>
    </row>
    <row r="50" spans="1:36" s="9" customFormat="1" ht="22.35" customHeight="1" x14ac:dyDescent="0.3">
      <c r="A50" s="2467" t="s">
        <v>619</v>
      </c>
      <c r="B50" s="2468"/>
      <c r="C50" s="2468"/>
      <c r="D50" s="37">
        <v>1400</v>
      </c>
      <c r="E50" s="996">
        <v>46007.1</v>
      </c>
      <c r="F50" s="1053">
        <v>0</v>
      </c>
      <c r="G50" s="1053">
        <v>0</v>
      </c>
      <c r="H50" s="1039">
        <f t="shared" si="1"/>
        <v>46007.1</v>
      </c>
      <c r="I50" s="996">
        <v>46007.1</v>
      </c>
      <c r="J50" s="1053">
        <v>0</v>
      </c>
      <c r="K50" s="1040">
        <f t="shared" si="0"/>
        <v>46007.1</v>
      </c>
      <c r="L50" s="2540" t="s">
        <v>1874</v>
      </c>
      <c r="M50" s="2541"/>
      <c r="N50" s="1504"/>
      <c r="O50" s="81"/>
      <c r="P50" s="81"/>
      <c r="Q50" s="81"/>
      <c r="R50" s="81"/>
      <c r="S50" s="81"/>
      <c r="T50" s="81"/>
      <c r="U50" s="81"/>
      <c r="V50" s="81"/>
      <c r="W50" s="81"/>
      <c r="X50" s="81"/>
      <c r="Y50" s="81"/>
      <c r="Z50" s="81"/>
      <c r="AA50" s="81"/>
      <c r="AB50" s="81"/>
      <c r="AC50" s="81"/>
      <c r="AD50" s="81"/>
      <c r="AE50" s="81"/>
      <c r="AF50" s="81"/>
      <c r="AG50" s="81"/>
      <c r="AH50" s="81"/>
      <c r="AI50" s="81"/>
      <c r="AJ50" s="81"/>
    </row>
    <row r="51" spans="1:36" s="9" customFormat="1" ht="22.35" customHeight="1" x14ac:dyDescent="0.3">
      <c r="A51" s="2467" t="s">
        <v>125</v>
      </c>
      <c r="B51" s="2468"/>
      <c r="C51" s="2468"/>
      <c r="D51" s="37">
        <v>1405</v>
      </c>
      <c r="E51" s="996">
        <v>0</v>
      </c>
      <c r="F51" s="1053">
        <v>0</v>
      </c>
      <c r="G51" s="1053">
        <v>0</v>
      </c>
      <c r="H51" s="1039">
        <f t="shared" si="1"/>
        <v>0</v>
      </c>
      <c r="I51" s="996">
        <v>0</v>
      </c>
      <c r="J51" s="1053">
        <v>0</v>
      </c>
      <c r="K51" s="1040">
        <f t="shared" si="0"/>
        <v>0</v>
      </c>
      <c r="L51" s="2540"/>
      <c r="M51" s="2541"/>
      <c r="N51" s="603"/>
      <c r="O51" s="81"/>
      <c r="P51" s="81"/>
      <c r="Q51" s="81"/>
      <c r="R51" s="81"/>
      <c r="S51" s="81"/>
      <c r="T51" s="81"/>
      <c r="U51" s="81"/>
      <c r="V51" s="81"/>
      <c r="W51" s="81"/>
      <c r="X51" s="81"/>
      <c r="Y51" s="81"/>
      <c r="Z51" s="81"/>
      <c r="AA51" s="81"/>
      <c r="AB51" s="81"/>
      <c r="AC51" s="81"/>
      <c r="AD51" s="81"/>
      <c r="AE51" s="81"/>
      <c r="AF51" s="81"/>
      <c r="AG51" s="81"/>
      <c r="AH51" s="81"/>
      <c r="AI51" s="81"/>
      <c r="AJ51" s="81"/>
    </row>
    <row r="52" spans="1:36" s="9" customFormat="1" ht="22.35" customHeight="1" x14ac:dyDescent="0.3">
      <c r="A52" s="2495" t="s">
        <v>807</v>
      </c>
      <c r="B52" s="2496"/>
      <c r="C52" s="2496"/>
      <c r="D52" s="129">
        <v>1410</v>
      </c>
      <c r="E52" s="996">
        <v>13761.7</v>
      </c>
      <c r="F52" s="1053">
        <v>0</v>
      </c>
      <c r="G52" s="1053">
        <v>9919.4</v>
      </c>
      <c r="H52" s="1039">
        <f t="shared" si="1"/>
        <v>23681.1</v>
      </c>
      <c r="I52" s="996">
        <v>23659.599999999999</v>
      </c>
      <c r="J52" s="1053">
        <v>0</v>
      </c>
      <c r="K52" s="1040">
        <f t="shared" si="0"/>
        <v>23659.599999999999</v>
      </c>
      <c r="L52" s="2542"/>
      <c r="M52" s="2543"/>
      <c r="N52" s="605"/>
      <c r="O52" s="81"/>
      <c r="P52" s="81"/>
      <c r="Q52" s="81"/>
      <c r="R52" s="81"/>
      <c r="S52" s="81"/>
      <c r="T52" s="81"/>
      <c r="U52" s="81"/>
      <c r="V52" s="81"/>
      <c r="W52" s="81"/>
      <c r="X52" s="81"/>
      <c r="Y52" s="81"/>
      <c r="Z52" s="81"/>
      <c r="AA52" s="81"/>
      <c r="AB52" s="81"/>
      <c r="AC52" s="81"/>
      <c r="AD52" s="81"/>
      <c r="AE52" s="81"/>
      <c r="AF52" s="81"/>
      <c r="AG52" s="81"/>
      <c r="AH52" s="81"/>
      <c r="AI52" s="81"/>
      <c r="AJ52" s="81"/>
    </row>
    <row r="53" spans="1:36" s="9" customFormat="1" ht="24" customHeight="1" thickBot="1" x14ac:dyDescent="0.35">
      <c r="A53" s="2493" t="s">
        <v>808</v>
      </c>
      <c r="B53" s="2494"/>
      <c r="C53" s="2494"/>
      <c r="D53" s="129"/>
      <c r="E53" s="1005">
        <v>13761.7</v>
      </c>
      <c r="F53" s="1056">
        <v>0</v>
      </c>
      <c r="G53" s="1056">
        <v>9919.4</v>
      </c>
      <c r="H53" s="1039">
        <f t="shared" si="1"/>
        <v>23681.1</v>
      </c>
      <c r="I53" s="1005">
        <v>23659.599999999999</v>
      </c>
      <c r="J53" s="1056">
        <v>0</v>
      </c>
      <c r="K53" s="1040">
        <f t="shared" si="0"/>
        <v>23659.599999999999</v>
      </c>
      <c r="L53" s="2544"/>
      <c r="M53" s="2545"/>
      <c r="N53" s="603"/>
      <c r="O53" s="81"/>
      <c r="P53" s="81"/>
      <c r="Q53" s="81"/>
      <c r="R53" s="81"/>
      <c r="S53" s="81"/>
      <c r="T53" s="81"/>
      <c r="U53" s="81"/>
      <c r="V53" s="81"/>
      <c r="W53" s="81"/>
      <c r="X53" s="81"/>
      <c r="Y53" s="81"/>
      <c r="Z53" s="81"/>
      <c r="AA53" s="81"/>
      <c r="AB53" s="81"/>
      <c r="AC53" s="81"/>
      <c r="AD53" s="81"/>
      <c r="AE53" s="81"/>
      <c r="AF53" s="81"/>
      <c r="AG53" s="81"/>
      <c r="AH53" s="81"/>
      <c r="AI53" s="81"/>
      <c r="AJ53" s="81"/>
    </row>
    <row r="54" spans="1:36" s="9" customFormat="1" ht="26.25" customHeight="1" x14ac:dyDescent="0.3">
      <c r="A54" s="2505" t="s">
        <v>809</v>
      </c>
      <c r="B54" s="2461"/>
      <c r="C54" s="2462"/>
      <c r="D54" s="129"/>
      <c r="E54" s="1041">
        <f t="shared" ref="E54:J54" si="3">ROUND((E52-E53),1)</f>
        <v>0</v>
      </c>
      <c r="F54" s="1057">
        <f t="shared" si="3"/>
        <v>0</v>
      </c>
      <c r="G54" s="1057">
        <f>ROUND((G52-G53),1)</f>
        <v>0</v>
      </c>
      <c r="H54" s="1039">
        <f t="shared" si="1"/>
        <v>0</v>
      </c>
      <c r="I54" s="1041">
        <f t="shared" si="3"/>
        <v>0</v>
      </c>
      <c r="J54" s="1057">
        <f t="shared" si="3"/>
        <v>0</v>
      </c>
      <c r="K54" s="1040">
        <f t="shared" si="0"/>
        <v>0</v>
      </c>
      <c r="L54" s="1634">
        <f>'Звіт   9'!H68+'Звіт   9'!H71+'Звіт   9'!H73+'Звіт   9'!H74+'Звіт   9'!H75+'Звіт   9'!H77+'Звіт   9'!H78+'Звіт   9'!H82+'Звіт   9'!H85-'Звіт   9'!H85*('Звіт   4,5,6'!O39*100/'Звіт   4,5,6'!E39)+'Звіт   9'!H88+'Звіт   9'!H89</f>
        <v>1251.9000000000001</v>
      </c>
      <c r="M54" s="1634">
        <f>'Звіт   9'!$K$71+'Звіт   9'!$K$73+'Звіт   9'!$K$74+'Звіт   9'!$K$75+'Звіт   9'!$K$77+'Звіт   9'!$K$78+'Звіт   9'!$K$82+'Звіт   9'!$K$85-'Звіт   9'!$K$85*('Звіт   4,5,6'!O39*100/'Звіт   4,5,6'!E39)+'Звіт   9'!$K$88+'Звіт   9'!$K$89+'Звіт   9'!K68</f>
        <v>7537.7</v>
      </c>
      <c r="N54" s="603"/>
      <c r="O54" s="81"/>
      <c r="P54" s="81"/>
      <c r="Q54" s="81"/>
      <c r="R54" s="81"/>
      <c r="S54" s="81"/>
      <c r="T54" s="81"/>
      <c r="U54" s="81"/>
      <c r="V54" s="81"/>
      <c r="W54" s="81"/>
      <c r="X54" s="81"/>
      <c r="Y54" s="81"/>
      <c r="Z54" s="81"/>
      <c r="AA54" s="81"/>
      <c r="AB54" s="81"/>
      <c r="AC54" s="81"/>
      <c r="AD54" s="81"/>
      <c r="AE54" s="81"/>
      <c r="AF54" s="81"/>
      <c r="AG54" s="81"/>
      <c r="AH54" s="81"/>
      <c r="AI54" s="81"/>
      <c r="AJ54" s="81"/>
    </row>
    <row r="55" spans="1:36" s="9" customFormat="1" ht="22.35" customHeight="1" x14ac:dyDescent="0.3">
      <c r="A55" s="2495" t="s">
        <v>127</v>
      </c>
      <c r="B55" s="2496"/>
      <c r="C55" s="2496"/>
      <c r="D55" s="129">
        <v>1415</v>
      </c>
      <c r="E55" s="1005">
        <v>0</v>
      </c>
      <c r="F55" s="1056">
        <v>0</v>
      </c>
      <c r="G55" s="1056">
        <v>0</v>
      </c>
      <c r="H55" s="1039">
        <f t="shared" si="1"/>
        <v>0</v>
      </c>
      <c r="I55" s="1005"/>
      <c r="J55" s="1056">
        <v>0</v>
      </c>
      <c r="K55" s="1040">
        <f t="shared" si="0"/>
        <v>0</v>
      </c>
      <c r="L55" s="1634">
        <f>('Звіт 10, 11,12,13,14'!L10+'Звіт 10, 11,12,13,14'!L17+'Звіт 10, 11,12,13,14'!L19+'Звіт 10, 11,12,13,14'!L26)/1000</f>
        <v>1582.412</v>
      </c>
      <c r="M55" s="1634">
        <f>('Звіт 10, 11,12,13,14'!AF10+'Звіт 10, 11,12,13,14'!AF17+'Звіт 10, 11,12,13,14'!AF19+'Звіт 10, 11,12,13,14'!AF26-'Звіт 10, 11,12,13,14'!X21)/1000</f>
        <v>1047.066</v>
      </c>
      <c r="N55" s="1357" t="s">
        <v>659</v>
      </c>
      <c r="O55" s="81"/>
      <c r="P55" s="81"/>
      <c r="Q55" s="81"/>
      <c r="R55" s="81"/>
      <c r="S55" s="81"/>
      <c r="T55" s="81"/>
      <c r="U55" s="81"/>
      <c r="V55" s="81"/>
      <c r="W55" s="81"/>
      <c r="X55" s="81"/>
      <c r="Y55" s="81"/>
      <c r="Z55" s="81"/>
      <c r="AA55" s="81"/>
      <c r="AB55" s="81"/>
      <c r="AC55" s="81"/>
      <c r="AD55" s="81"/>
      <c r="AE55" s="81"/>
      <c r="AF55" s="81"/>
      <c r="AG55" s="81"/>
      <c r="AH55" s="81"/>
      <c r="AI55" s="81"/>
      <c r="AJ55" s="81"/>
    </row>
    <row r="56" spans="1:36" s="9" customFormat="1" ht="22.35" customHeight="1" x14ac:dyDescent="0.35">
      <c r="A56" s="2506" t="s">
        <v>128</v>
      </c>
      <c r="B56" s="2507"/>
      <c r="C56" s="2507"/>
      <c r="D56" s="1473">
        <v>1420</v>
      </c>
      <c r="E56" s="1005">
        <v>4517.6000000000004</v>
      </c>
      <c r="F56" s="1056">
        <v>0</v>
      </c>
      <c r="G56" s="1056">
        <v>0</v>
      </c>
      <c r="H56" s="1039">
        <f t="shared" si="1"/>
        <v>4517.6000000000004</v>
      </c>
      <c r="I56" s="1005">
        <f>-4781.5-735.7</f>
        <v>-5517.2</v>
      </c>
      <c r="J56" s="1056">
        <v>0</v>
      </c>
      <c r="K56" s="1040">
        <f t="shared" si="0"/>
        <v>-5517.2</v>
      </c>
      <c r="L56" s="1635">
        <f>L45-L54+L55</f>
        <v>4743.6119999999992</v>
      </c>
      <c r="M56" s="1635">
        <f>M45-M54+M55</f>
        <v>-5291.2339999999995</v>
      </c>
      <c r="N56" s="2464" t="str">
        <f>Валідація!F96</f>
        <v>Увага</v>
      </c>
      <c r="O56" s="2463"/>
      <c r="P56" s="2463"/>
      <c r="Q56" s="2463"/>
      <c r="R56" s="2463"/>
      <c r="S56" s="2463"/>
      <c r="T56" s="2463"/>
      <c r="U56" s="2463"/>
      <c r="V56" s="2463"/>
      <c r="W56" s="2463"/>
      <c r="X56" s="2463"/>
      <c r="Y56" s="81"/>
      <c r="Z56" s="81"/>
      <c r="AA56" s="81"/>
      <c r="AB56" s="81"/>
      <c r="AC56" s="81"/>
      <c r="AD56" s="81"/>
      <c r="AE56" s="81"/>
      <c r="AF56" s="81"/>
      <c r="AG56" s="81"/>
      <c r="AH56" s="81"/>
      <c r="AI56" s="81"/>
      <c r="AJ56" s="81"/>
    </row>
    <row r="57" spans="1:36" s="9" customFormat="1" ht="22.35" customHeight="1" x14ac:dyDescent="0.3">
      <c r="A57" s="2467" t="s">
        <v>129</v>
      </c>
      <c r="B57" s="2468"/>
      <c r="C57" s="2468"/>
      <c r="D57" s="37">
        <v>1425</v>
      </c>
      <c r="E57" s="1005">
        <f>-21299</f>
        <v>-21299</v>
      </c>
      <c r="F57" s="1056">
        <v>0</v>
      </c>
      <c r="G57" s="1056">
        <v>0</v>
      </c>
      <c r="H57" s="1039">
        <f t="shared" si="1"/>
        <v>-21299</v>
      </c>
      <c r="I57" s="1005">
        <f>-21299</f>
        <v>-21299</v>
      </c>
      <c r="J57" s="1053">
        <v>0</v>
      </c>
      <c r="K57" s="1040">
        <f t="shared" si="0"/>
        <v>-21299</v>
      </c>
      <c r="M57" s="1505"/>
      <c r="N57" s="2464"/>
      <c r="O57" s="2463"/>
      <c r="P57" s="2463"/>
      <c r="Q57" s="2463"/>
      <c r="R57" s="2463"/>
      <c r="S57" s="2463"/>
      <c r="T57" s="2463"/>
      <c r="U57" s="2463"/>
      <c r="V57" s="2463"/>
      <c r="W57" s="2463"/>
      <c r="X57" s="2463"/>
      <c r="Y57" s="81"/>
      <c r="Z57" s="81"/>
      <c r="AA57" s="81"/>
      <c r="AB57" s="81"/>
      <c r="AC57" s="81"/>
      <c r="AD57" s="81"/>
      <c r="AE57" s="81"/>
      <c r="AF57" s="81"/>
      <c r="AG57" s="81"/>
      <c r="AH57" s="81"/>
      <c r="AI57" s="81"/>
      <c r="AJ57" s="81"/>
    </row>
    <row r="58" spans="1:36" s="9" customFormat="1" ht="22.35" customHeight="1" x14ac:dyDescent="0.3">
      <c r="A58" s="2467" t="s">
        <v>130</v>
      </c>
      <c r="B58" s="2468"/>
      <c r="C58" s="2468"/>
      <c r="D58" s="37">
        <v>1430</v>
      </c>
      <c r="E58" s="996">
        <v>0</v>
      </c>
      <c r="F58" s="1053">
        <v>0</v>
      </c>
      <c r="G58" s="1053">
        <v>0</v>
      </c>
      <c r="H58" s="1039">
        <f t="shared" si="1"/>
        <v>0</v>
      </c>
      <c r="I58" s="996">
        <v>0</v>
      </c>
      <c r="J58" s="1053">
        <v>0</v>
      </c>
      <c r="K58" s="1040">
        <f t="shared" si="0"/>
        <v>0</v>
      </c>
      <c r="L58" s="1505"/>
      <c r="M58" s="1505"/>
      <c r="N58" s="2464"/>
      <c r="O58" s="2463"/>
      <c r="P58" s="2463"/>
      <c r="Q58" s="2463"/>
      <c r="R58" s="2463"/>
      <c r="S58" s="2463"/>
      <c r="T58" s="2463"/>
      <c r="U58" s="2463"/>
      <c r="V58" s="2463"/>
      <c r="W58" s="2463"/>
      <c r="X58" s="2463"/>
      <c r="Y58" s="81"/>
      <c r="Z58" s="81"/>
      <c r="AA58" s="81"/>
      <c r="AB58" s="81"/>
      <c r="AC58" s="81"/>
      <c r="AD58" s="81"/>
      <c r="AE58" s="81"/>
      <c r="AF58" s="81"/>
      <c r="AG58" s="81"/>
      <c r="AH58" s="81"/>
      <c r="AI58" s="81"/>
      <c r="AJ58" s="81"/>
    </row>
    <row r="59" spans="1:36" s="9" customFormat="1" ht="22.35" customHeight="1" thickBot="1" x14ac:dyDescent="0.4">
      <c r="A59" s="2483" t="s">
        <v>131</v>
      </c>
      <c r="B59" s="2484"/>
      <c r="C59" s="2484"/>
      <c r="D59" s="223">
        <v>1495</v>
      </c>
      <c r="E59" s="1042">
        <f t="shared" ref="E59:J59" si="4">SUM(E50,E51,E52,E55,E56,E57,E58)</f>
        <v>42987.4</v>
      </c>
      <c r="F59" s="1042">
        <f t="shared" si="4"/>
        <v>0</v>
      </c>
      <c r="G59" s="1042">
        <f>SUM(G50,G51,G52,G55,G56,G57,G58)</f>
        <v>9919.4</v>
      </c>
      <c r="H59" s="1585">
        <f t="shared" si="1"/>
        <v>52906.8</v>
      </c>
      <c r="I59" s="1042">
        <f t="shared" si="4"/>
        <v>42850.5</v>
      </c>
      <c r="J59" s="1042">
        <f t="shared" si="4"/>
        <v>0</v>
      </c>
      <c r="K59" s="1586">
        <f t="shared" si="0"/>
        <v>42850.5</v>
      </c>
      <c r="L59" s="1505"/>
      <c r="M59" s="1505"/>
      <c r="N59" s="2464"/>
      <c r="O59" s="1549"/>
      <c r="P59" s="1549"/>
      <c r="Q59" s="1549"/>
      <c r="R59" s="1549"/>
      <c r="S59" s="1549"/>
      <c r="T59" s="1549"/>
      <c r="U59" s="1549"/>
      <c r="V59" s="1549"/>
      <c r="W59" s="1549"/>
      <c r="X59" s="1549"/>
      <c r="Y59" s="81"/>
      <c r="Z59" s="81"/>
      <c r="AA59" s="81"/>
      <c r="AB59" s="81"/>
      <c r="AC59" s="81"/>
      <c r="AD59" s="81"/>
      <c r="AE59" s="81"/>
      <c r="AF59" s="81"/>
      <c r="AG59" s="81"/>
      <c r="AH59" s="81"/>
      <c r="AI59" s="81"/>
      <c r="AJ59" s="81"/>
    </row>
    <row r="60" spans="1:36" s="9" customFormat="1" ht="26.25" customHeight="1" x14ac:dyDescent="0.35">
      <c r="A60" s="2511" t="s">
        <v>287</v>
      </c>
      <c r="B60" s="2512"/>
      <c r="C60" s="2512"/>
      <c r="D60" s="222"/>
      <c r="E60" s="1006"/>
      <c r="F60" s="1007"/>
      <c r="G60" s="1007"/>
      <c r="H60" s="1590">
        <f t="shared" si="1"/>
        <v>0</v>
      </c>
      <c r="I60" s="1006"/>
      <c r="J60" s="1007"/>
      <c r="K60" s="1591">
        <f t="shared" si="0"/>
        <v>0</v>
      </c>
      <c r="L60" s="1505"/>
      <c r="M60" s="1505"/>
      <c r="N60" s="1357"/>
      <c r="O60" s="81"/>
      <c r="P60" s="81"/>
      <c r="Q60" s="81"/>
      <c r="R60" s="81"/>
      <c r="S60" s="81"/>
      <c r="T60" s="81"/>
      <c r="U60" s="81"/>
      <c r="V60" s="81"/>
      <c r="W60" s="81"/>
      <c r="X60" s="81"/>
      <c r="Y60" s="81"/>
      <c r="Z60" s="81"/>
      <c r="AA60" s="81"/>
      <c r="AB60" s="81"/>
      <c r="AC60" s="81"/>
      <c r="AD60" s="81"/>
      <c r="AE60" s="81"/>
      <c r="AF60" s="81"/>
      <c r="AG60" s="81"/>
      <c r="AH60" s="81"/>
      <c r="AI60" s="81"/>
      <c r="AJ60" s="81"/>
    </row>
    <row r="61" spans="1:36" s="9" customFormat="1" ht="22.35" customHeight="1" x14ac:dyDescent="0.3">
      <c r="A61" s="2467" t="s">
        <v>132</v>
      </c>
      <c r="B61" s="2468"/>
      <c r="C61" s="2468"/>
      <c r="D61" s="37">
        <v>1500</v>
      </c>
      <c r="E61" s="996">
        <v>0</v>
      </c>
      <c r="F61" s="1053">
        <v>0</v>
      </c>
      <c r="G61" s="1053">
        <v>0</v>
      </c>
      <c r="H61" s="1039">
        <f t="shared" si="1"/>
        <v>0</v>
      </c>
      <c r="I61" s="996">
        <v>0</v>
      </c>
      <c r="J61" s="1053">
        <v>0</v>
      </c>
      <c r="K61" s="1040">
        <f t="shared" si="0"/>
        <v>0</v>
      </c>
      <c r="L61" s="1505"/>
      <c r="M61" s="1505"/>
      <c r="N61" s="1357" t="s">
        <v>662</v>
      </c>
      <c r="O61" s="81"/>
      <c r="P61" s="81"/>
      <c r="Q61" s="81"/>
      <c r="R61" s="81"/>
      <c r="S61" s="81"/>
      <c r="T61" s="81"/>
      <c r="U61" s="81"/>
      <c r="V61" s="81"/>
      <c r="W61" s="81"/>
      <c r="X61" s="81"/>
      <c r="Y61" s="81"/>
      <c r="Z61" s="81"/>
      <c r="AA61" s="81"/>
      <c r="AB61" s="81"/>
      <c r="AC61" s="81"/>
      <c r="AD61" s="81"/>
      <c r="AE61" s="81"/>
      <c r="AF61" s="81"/>
      <c r="AG61" s="81"/>
      <c r="AH61" s="81"/>
      <c r="AI61" s="81"/>
      <c r="AJ61" s="81"/>
    </row>
    <row r="62" spans="1:36" s="9" customFormat="1" ht="21.75" customHeight="1" x14ac:dyDescent="0.3">
      <c r="A62" s="2467" t="s">
        <v>133</v>
      </c>
      <c r="B62" s="2468"/>
      <c r="C62" s="2468"/>
      <c r="D62" s="37">
        <v>1510</v>
      </c>
      <c r="E62" s="996">
        <v>0</v>
      </c>
      <c r="F62" s="1053">
        <v>0</v>
      </c>
      <c r="G62" s="1053">
        <v>0</v>
      </c>
      <c r="H62" s="1039">
        <f t="shared" si="1"/>
        <v>0</v>
      </c>
      <c r="I62" s="996">
        <v>0</v>
      </c>
      <c r="J62" s="1053">
        <v>0</v>
      </c>
      <c r="K62" s="1040">
        <f t="shared" si="0"/>
        <v>0</v>
      </c>
      <c r="L62" s="1509"/>
      <c r="M62" s="1509"/>
      <c r="N62" s="1357" t="s">
        <v>665</v>
      </c>
      <c r="O62" s="81"/>
      <c r="P62" s="81"/>
      <c r="Q62" s="81"/>
      <c r="R62" s="81"/>
      <c r="S62" s="81"/>
      <c r="T62" s="81"/>
      <c r="U62" s="81"/>
      <c r="V62" s="81"/>
      <c r="W62" s="81"/>
      <c r="X62" s="81"/>
      <c r="Y62" s="81"/>
      <c r="Z62" s="81"/>
      <c r="AA62" s="81"/>
      <c r="AB62" s="81"/>
      <c r="AC62" s="81"/>
      <c r="AD62" s="81"/>
      <c r="AE62" s="81"/>
      <c r="AF62" s="81"/>
      <c r="AG62" s="81"/>
      <c r="AH62" s="81"/>
      <c r="AI62" s="81"/>
      <c r="AJ62" s="81"/>
    </row>
    <row r="63" spans="1:36" s="9" customFormat="1" ht="22.35" customHeight="1" x14ac:dyDescent="0.3">
      <c r="A63" s="2467" t="s">
        <v>134</v>
      </c>
      <c r="B63" s="2468"/>
      <c r="C63" s="2468"/>
      <c r="D63" s="37">
        <v>1515</v>
      </c>
      <c r="E63" s="996">
        <v>0</v>
      </c>
      <c r="F63" s="1053">
        <v>0</v>
      </c>
      <c r="G63" s="1053">
        <v>0</v>
      </c>
      <c r="H63" s="1039">
        <f t="shared" si="1"/>
        <v>0</v>
      </c>
      <c r="I63" s="996">
        <v>0</v>
      </c>
      <c r="J63" s="1053">
        <v>0</v>
      </c>
      <c r="K63" s="1040">
        <f t="shared" si="0"/>
        <v>0</v>
      </c>
      <c r="L63" s="2538"/>
      <c r="M63" s="2538"/>
      <c r="N63" s="1357" t="s">
        <v>668</v>
      </c>
      <c r="O63" s="81"/>
      <c r="P63" s="81"/>
      <c r="Q63" s="81"/>
      <c r="R63" s="81"/>
      <c r="S63" s="81"/>
      <c r="T63" s="81"/>
      <c r="U63" s="81"/>
      <c r="V63" s="81"/>
      <c r="W63" s="81"/>
      <c r="X63" s="81"/>
      <c r="Y63" s="81"/>
      <c r="Z63" s="81"/>
      <c r="AA63" s="81"/>
      <c r="AB63" s="81"/>
      <c r="AC63" s="81"/>
      <c r="AD63" s="81"/>
      <c r="AE63" s="81"/>
      <c r="AF63" s="81"/>
      <c r="AG63" s="81"/>
      <c r="AH63" s="81"/>
      <c r="AI63" s="81"/>
      <c r="AJ63" s="81"/>
    </row>
    <row r="64" spans="1:36" s="9" customFormat="1" ht="22.35" customHeight="1" x14ac:dyDescent="0.3">
      <c r="A64" s="2467" t="s">
        <v>135</v>
      </c>
      <c r="B64" s="2468"/>
      <c r="C64" s="2468"/>
      <c r="D64" s="37">
        <v>1520</v>
      </c>
      <c r="E64" s="996">
        <v>0</v>
      </c>
      <c r="F64" s="1053">
        <v>0</v>
      </c>
      <c r="G64" s="1053">
        <v>0</v>
      </c>
      <c r="H64" s="1039">
        <f t="shared" si="1"/>
        <v>0</v>
      </c>
      <c r="I64" s="996">
        <v>0</v>
      </c>
      <c r="J64" s="1053">
        <v>0</v>
      </c>
      <c r="K64" s="1040">
        <f t="shared" si="0"/>
        <v>0</v>
      </c>
      <c r="L64" s="2538"/>
      <c r="M64" s="2538"/>
      <c r="N64" s="1357" t="s">
        <v>671</v>
      </c>
      <c r="O64" s="81"/>
      <c r="P64" s="81"/>
      <c r="Q64" s="81"/>
      <c r="R64" s="81"/>
      <c r="S64" s="81"/>
      <c r="T64" s="81"/>
      <c r="U64" s="81"/>
      <c r="V64" s="81"/>
      <c r="W64" s="81"/>
      <c r="X64" s="81"/>
      <c r="Y64" s="81"/>
      <c r="Z64" s="81"/>
      <c r="AA64" s="81"/>
      <c r="AB64" s="81"/>
      <c r="AC64" s="81"/>
      <c r="AD64" s="81"/>
      <c r="AE64" s="81"/>
      <c r="AF64" s="81"/>
      <c r="AG64" s="81"/>
      <c r="AH64" s="81"/>
      <c r="AI64" s="81"/>
      <c r="AJ64" s="81"/>
    </row>
    <row r="65" spans="1:36" s="9" customFormat="1" ht="22.35" customHeight="1" x14ac:dyDescent="0.35">
      <c r="A65" s="2501" t="s">
        <v>792</v>
      </c>
      <c r="B65" s="2502"/>
      <c r="C65" s="2502"/>
      <c r="D65" s="37">
        <v>1525</v>
      </c>
      <c r="E65" s="996">
        <v>27137.3</v>
      </c>
      <c r="F65" s="1053">
        <v>0</v>
      </c>
      <c r="G65" s="1053">
        <v>0</v>
      </c>
      <c r="H65" s="1039">
        <f t="shared" si="1"/>
        <v>27137.3</v>
      </c>
      <c r="I65" s="996">
        <f>30506+735.7</f>
        <v>31241.7</v>
      </c>
      <c r="J65" s="1053">
        <v>0</v>
      </c>
      <c r="K65" s="1040">
        <f t="shared" si="0"/>
        <v>31241.7</v>
      </c>
      <c r="L65" s="2538"/>
      <c r="M65" s="2538"/>
      <c r="N65" s="605"/>
      <c r="O65" s="81"/>
      <c r="P65" s="81"/>
      <c r="Q65" s="81"/>
      <c r="R65" s="81"/>
      <c r="S65" s="81"/>
      <c r="T65" s="81"/>
      <c r="U65" s="81"/>
      <c r="V65" s="81"/>
      <c r="W65" s="81"/>
      <c r="X65" s="81"/>
      <c r="Y65" s="81"/>
      <c r="Z65" s="81"/>
      <c r="AA65" s="81"/>
      <c r="AB65" s="81"/>
      <c r="AC65" s="81"/>
      <c r="AD65" s="81"/>
      <c r="AE65" s="81"/>
      <c r="AF65" s="81"/>
      <c r="AG65" s="81"/>
      <c r="AH65" s="81"/>
      <c r="AI65" s="81"/>
      <c r="AJ65" s="81"/>
    </row>
    <row r="66" spans="1:36" s="9" customFormat="1" ht="35.25" customHeight="1" x14ac:dyDescent="0.3">
      <c r="A66" s="2505" t="s">
        <v>793</v>
      </c>
      <c r="B66" s="2461"/>
      <c r="C66" s="2462"/>
      <c r="D66" s="37"/>
      <c r="E66" s="996">
        <v>27030.7</v>
      </c>
      <c r="F66" s="1053">
        <v>0</v>
      </c>
      <c r="G66" s="1053">
        <v>0</v>
      </c>
      <c r="H66" s="1039">
        <f t="shared" si="1"/>
        <v>27030.7</v>
      </c>
      <c r="I66" s="996">
        <v>30445.1</v>
      </c>
      <c r="J66" s="1053">
        <v>0</v>
      </c>
      <c r="K66" s="1040">
        <f t="shared" si="0"/>
        <v>30445.1</v>
      </c>
      <c r="L66" s="1509"/>
      <c r="M66" s="1505"/>
      <c r="N66" s="605"/>
      <c r="O66" s="81"/>
      <c r="P66" s="81"/>
      <c r="Q66" s="81"/>
      <c r="R66" s="81"/>
      <c r="S66" s="81"/>
      <c r="T66" s="81"/>
      <c r="U66" s="81"/>
      <c r="V66" s="81"/>
      <c r="W66" s="81"/>
      <c r="X66" s="81"/>
      <c r="Y66" s="81"/>
      <c r="Z66" s="81"/>
      <c r="AA66" s="81"/>
      <c r="AB66" s="81"/>
      <c r="AC66" s="81"/>
      <c r="AD66" s="81"/>
      <c r="AE66" s="81"/>
      <c r="AF66" s="81"/>
      <c r="AG66" s="81"/>
      <c r="AH66" s="81"/>
      <c r="AI66" s="81"/>
      <c r="AJ66" s="81"/>
    </row>
    <row r="67" spans="1:36" s="9" customFormat="1" ht="40.35" customHeight="1" x14ac:dyDescent="0.3">
      <c r="A67" s="2505" t="s">
        <v>794</v>
      </c>
      <c r="B67" s="2461"/>
      <c r="C67" s="2462"/>
      <c r="D67" s="37"/>
      <c r="E67" s="996">
        <v>106.6</v>
      </c>
      <c r="F67" s="1053">
        <v>0</v>
      </c>
      <c r="G67" s="1053">
        <v>0</v>
      </c>
      <c r="H67" s="1039">
        <f t="shared" si="1"/>
        <v>106.6</v>
      </c>
      <c r="I67" s="996">
        <v>60.9</v>
      </c>
      <c r="J67" s="1053">
        <v>0</v>
      </c>
      <c r="K67" s="1040">
        <f t="shared" si="0"/>
        <v>60.9</v>
      </c>
      <c r="L67" s="2538"/>
      <c r="M67" s="2538"/>
      <c r="N67" s="605"/>
      <c r="O67" s="81"/>
      <c r="P67" s="81"/>
      <c r="Q67" s="81"/>
      <c r="R67" s="81"/>
      <c r="S67" s="81"/>
      <c r="T67" s="81"/>
      <c r="U67" s="81"/>
      <c r="V67" s="81"/>
      <c r="W67" s="81"/>
      <c r="X67" s="81"/>
      <c r="Y67" s="81"/>
      <c r="Z67" s="81"/>
      <c r="AA67" s="81"/>
      <c r="AB67" s="81"/>
      <c r="AC67" s="81"/>
      <c r="AD67" s="81"/>
      <c r="AE67" s="81"/>
      <c r="AF67" s="81"/>
      <c r="AG67" s="81"/>
      <c r="AH67" s="81"/>
      <c r="AI67" s="81"/>
      <c r="AJ67" s="81"/>
    </row>
    <row r="68" spans="1:36" s="9" customFormat="1" ht="25.15" customHeight="1" x14ac:dyDescent="0.3">
      <c r="A68" s="2518" t="s">
        <v>798</v>
      </c>
      <c r="B68" s="2519"/>
      <c r="C68" s="2520"/>
      <c r="D68" s="1498"/>
      <c r="E68" s="1041">
        <f t="shared" ref="E68:J68" si="5">ROUND((E65-E66-E67),1)</f>
        <v>0</v>
      </c>
      <c r="F68" s="1057">
        <f t="shared" si="5"/>
        <v>0</v>
      </c>
      <c r="G68" s="1057">
        <f>ROUND((G65-G66-G67),1)</f>
        <v>0</v>
      </c>
      <c r="H68" s="1039">
        <f t="shared" si="1"/>
        <v>0</v>
      </c>
      <c r="I68" s="1041">
        <f t="shared" si="5"/>
        <v>735.7</v>
      </c>
      <c r="J68" s="1057">
        <f t="shared" si="5"/>
        <v>0</v>
      </c>
      <c r="K68" s="1040">
        <f t="shared" si="0"/>
        <v>735.7</v>
      </c>
      <c r="L68" s="2538"/>
      <c r="M68" s="2538"/>
      <c r="N68" s="605"/>
      <c r="O68" s="81"/>
      <c r="P68" s="81"/>
      <c r="Q68" s="81"/>
      <c r="R68" s="81"/>
      <c r="S68" s="81"/>
      <c r="T68" s="81"/>
      <c r="U68" s="81"/>
      <c r="V68" s="81"/>
      <c r="W68" s="81"/>
      <c r="X68" s="81"/>
      <c r="Y68" s="81"/>
      <c r="Z68" s="81"/>
      <c r="AA68" s="81"/>
      <c r="AB68" s="81"/>
      <c r="AC68" s="81"/>
      <c r="AD68" s="81"/>
      <c r="AE68" s="81"/>
      <c r="AF68" s="81"/>
      <c r="AG68" s="81"/>
      <c r="AH68" s="81"/>
      <c r="AI68" s="81"/>
      <c r="AJ68" s="81"/>
    </row>
    <row r="69" spans="1:36" s="9" customFormat="1" ht="33" customHeight="1" thickBot="1" x14ac:dyDescent="0.4">
      <c r="A69" s="2508" t="s">
        <v>136</v>
      </c>
      <c r="B69" s="2509"/>
      <c r="C69" s="2510"/>
      <c r="D69" s="1506">
        <v>1595</v>
      </c>
      <c r="E69" s="1507">
        <f>SUM(E61,E62,E63,E64,E65)</f>
        <v>27137.3</v>
      </c>
      <c r="F69" s="1508">
        <f>SUM(F61,F62,F63,F64,F65)</f>
        <v>0</v>
      </c>
      <c r="G69" s="1508">
        <f>SUM(G61,G62,G63,G64,G65)</f>
        <v>0</v>
      </c>
      <c r="H69" s="1585">
        <f t="shared" si="1"/>
        <v>27137.3</v>
      </c>
      <c r="I69" s="1507">
        <f>SUM(I61,I62,I63,I64,I65)</f>
        <v>31241.7</v>
      </c>
      <c r="J69" s="1508">
        <f>SUM(J61,J62,J63,J64,J65)</f>
        <v>0</v>
      </c>
      <c r="K69" s="1586">
        <f t="shared" si="0"/>
        <v>31241.7</v>
      </c>
      <c r="L69" s="1509"/>
      <c r="M69" s="849"/>
      <c r="N69" s="605"/>
      <c r="O69" s="81"/>
      <c r="P69" s="81"/>
      <c r="Q69" s="81"/>
      <c r="R69" s="81"/>
      <c r="S69" s="81"/>
      <c r="T69" s="81"/>
      <c r="U69" s="81"/>
      <c r="V69" s="81"/>
      <c r="W69" s="81"/>
      <c r="X69" s="81"/>
      <c r="Y69" s="81"/>
      <c r="Z69" s="81"/>
      <c r="AA69" s="81"/>
      <c r="AB69" s="81"/>
      <c r="AC69" s="81"/>
      <c r="AD69" s="81"/>
      <c r="AE69" s="81"/>
      <c r="AF69" s="81"/>
      <c r="AG69" s="81"/>
      <c r="AH69" s="81"/>
      <c r="AI69" s="81"/>
      <c r="AJ69" s="81"/>
    </row>
    <row r="70" spans="1:36" s="9" customFormat="1" ht="27" customHeight="1" x14ac:dyDescent="0.35">
      <c r="A70" s="2499" t="s">
        <v>288</v>
      </c>
      <c r="B70" s="2500"/>
      <c r="C70" s="2500"/>
      <c r="D70" s="1592"/>
      <c r="E70" s="1593"/>
      <c r="F70" s="1594"/>
      <c r="G70" s="1594"/>
      <c r="H70" s="1581">
        <f t="shared" si="1"/>
        <v>0</v>
      </c>
      <c r="I70" s="1593"/>
      <c r="J70" s="1594"/>
      <c r="K70" s="1582">
        <f t="shared" si="0"/>
        <v>0</v>
      </c>
      <c r="L70" s="849"/>
      <c r="M70" s="849"/>
      <c r="N70" s="605"/>
      <c r="O70" s="81"/>
      <c r="P70" s="81"/>
      <c r="Q70" s="81"/>
      <c r="R70" s="81"/>
      <c r="S70" s="81"/>
      <c r="T70" s="81"/>
      <c r="U70" s="81"/>
      <c r="V70" s="81"/>
      <c r="W70" s="81"/>
      <c r="X70" s="81"/>
      <c r="Y70" s="81"/>
      <c r="Z70" s="81"/>
      <c r="AA70" s="81"/>
      <c r="AB70" s="81"/>
      <c r="AC70" s="81"/>
      <c r="AD70" s="81"/>
      <c r="AE70" s="81"/>
      <c r="AF70" s="81"/>
      <c r="AG70" s="81"/>
      <c r="AH70" s="81"/>
      <c r="AI70" s="81"/>
      <c r="AJ70" s="81"/>
    </row>
    <row r="71" spans="1:36" s="9" customFormat="1" ht="22.35" customHeight="1" x14ac:dyDescent="0.4">
      <c r="A71" s="2467" t="s">
        <v>137</v>
      </c>
      <c r="B71" s="2468"/>
      <c r="C71" s="2468"/>
      <c r="D71" s="1472">
        <v>1600</v>
      </c>
      <c r="E71" s="996">
        <v>0</v>
      </c>
      <c r="F71" s="1053">
        <v>0</v>
      </c>
      <c r="G71" s="1053">
        <v>0</v>
      </c>
      <c r="H71" s="1039">
        <f t="shared" si="1"/>
        <v>0</v>
      </c>
      <c r="I71" s="996">
        <v>0</v>
      </c>
      <c r="J71" s="1053">
        <v>0</v>
      </c>
      <c r="K71" s="1040">
        <f t="shared" si="0"/>
        <v>0</v>
      </c>
      <c r="L71" s="845"/>
      <c r="M71" s="845"/>
      <c r="N71" s="605"/>
      <c r="O71" s="81"/>
      <c r="P71" s="81"/>
      <c r="Q71" s="81"/>
      <c r="R71" s="81"/>
      <c r="S71" s="81"/>
      <c r="T71" s="81"/>
      <c r="U71" s="81"/>
      <c r="V71" s="81"/>
      <c r="W71" s="81"/>
      <c r="X71" s="81"/>
      <c r="Y71" s="81"/>
      <c r="Z71" s="81"/>
      <c r="AA71" s="81"/>
      <c r="AB71" s="81"/>
      <c r="AC71" s="81"/>
      <c r="AD71" s="81"/>
      <c r="AE71" s="81"/>
      <c r="AF71" s="81"/>
      <c r="AG71" s="81"/>
      <c r="AH71" s="81"/>
      <c r="AI71" s="81"/>
      <c r="AJ71" s="81"/>
    </row>
    <row r="72" spans="1:36" s="9" customFormat="1" ht="22.35" customHeight="1" x14ac:dyDescent="0.4">
      <c r="A72" s="2467" t="s">
        <v>289</v>
      </c>
      <c r="B72" s="2468"/>
      <c r="C72" s="2468"/>
      <c r="D72" s="37"/>
      <c r="E72" s="1008" t="s">
        <v>336</v>
      </c>
      <c r="F72" s="1058" t="s">
        <v>336</v>
      </c>
      <c r="G72" s="1058" t="s">
        <v>336</v>
      </c>
      <c r="H72" s="1039"/>
      <c r="I72" s="1008" t="s">
        <v>336</v>
      </c>
      <c r="J72" s="1058" t="s">
        <v>336</v>
      </c>
      <c r="K72" s="1040"/>
      <c r="L72" s="845"/>
      <c r="M72" s="845"/>
      <c r="N72" s="605"/>
      <c r="O72" s="81"/>
      <c r="P72" s="81"/>
      <c r="Q72" s="81"/>
      <c r="R72" s="81"/>
      <c r="S72" s="81"/>
      <c r="T72" s="81"/>
      <c r="U72" s="81"/>
      <c r="V72" s="81"/>
      <c r="W72" s="81"/>
      <c r="X72" s="81"/>
      <c r="Y72" s="81"/>
      <c r="Z72" s="81"/>
      <c r="AA72" s="81"/>
      <c r="AB72" s="81"/>
      <c r="AC72" s="81"/>
      <c r="AD72" s="81"/>
      <c r="AE72" s="81"/>
      <c r="AF72" s="81"/>
      <c r="AG72" s="81"/>
      <c r="AH72" s="81"/>
      <c r="AI72" s="81"/>
      <c r="AJ72" s="81"/>
    </row>
    <row r="73" spans="1:36" s="9" customFormat="1" ht="22.35" customHeight="1" x14ac:dyDescent="0.4">
      <c r="A73" s="2467" t="s">
        <v>138</v>
      </c>
      <c r="B73" s="2468"/>
      <c r="C73" s="2468"/>
      <c r="D73" s="1472">
        <v>1610</v>
      </c>
      <c r="E73" s="996">
        <v>0</v>
      </c>
      <c r="F73" s="1053">
        <v>0</v>
      </c>
      <c r="G73" s="1053">
        <v>0</v>
      </c>
      <c r="H73" s="1039">
        <f t="shared" si="1"/>
        <v>0</v>
      </c>
      <c r="I73" s="996">
        <v>0</v>
      </c>
      <c r="J73" s="1053">
        <v>0</v>
      </c>
      <c r="K73" s="1040">
        <f t="shared" si="0"/>
        <v>0</v>
      </c>
      <c r="L73" s="845"/>
      <c r="M73" s="845"/>
      <c r="N73" s="605"/>
      <c r="O73" s="81"/>
      <c r="P73" s="81"/>
      <c r="Q73" s="81"/>
      <c r="R73" s="81"/>
      <c r="S73" s="81"/>
      <c r="T73" s="81"/>
      <c r="U73" s="81"/>
      <c r="V73" s="81"/>
      <c r="W73" s="81"/>
      <c r="X73" s="81"/>
      <c r="Y73" s="81"/>
      <c r="Z73" s="81"/>
      <c r="AA73" s="81"/>
      <c r="AB73" s="81"/>
      <c r="AC73" s="81"/>
      <c r="AD73" s="81"/>
      <c r="AE73" s="81"/>
      <c r="AF73" s="81"/>
      <c r="AG73" s="81"/>
      <c r="AH73" s="81"/>
      <c r="AI73" s="81"/>
      <c r="AJ73" s="81"/>
    </row>
    <row r="74" spans="1:36" s="9" customFormat="1" ht="22.35" customHeight="1" x14ac:dyDescent="0.4">
      <c r="A74" s="2467" t="s">
        <v>144</v>
      </c>
      <c r="B74" s="2468"/>
      <c r="C74" s="2468"/>
      <c r="D74" s="1472">
        <v>1615</v>
      </c>
      <c r="E74" s="996">
        <v>1038.0999999999999</v>
      </c>
      <c r="F74" s="1053">
        <v>0</v>
      </c>
      <c r="G74" s="1053">
        <v>0</v>
      </c>
      <c r="H74" s="1039">
        <f t="shared" si="1"/>
        <v>1038.0999999999999</v>
      </c>
      <c r="I74" s="996">
        <v>515.1</v>
      </c>
      <c r="J74" s="1053">
        <v>0</v>
      </c>
      <c r="K74" s="1040">
        <f t="shared" si="0"/>
        <v>515.1</v>
      </c>
      <c r="L74" s="845"/>
      <c r="M74" s="845"/>
      <c r="N74" s="605"/>
      <c r="O74" s="81"/>
      <c r="P74" s="81"/>
      <c r="Q74" s="81"/>
      <c r="R74" s="81"/>
      <c r="S74" s="81"/>
      <c r="T74" s="81"/>
      <c r="U74" s="81"/>
      <c r="V74" s="81"/>
      <c r="W74" s="81"/>
      <c r="X74" s="81"/>
      <c r="Y74" s="81"/>
      <c r="Z74" s="81"/>
      <c r="AA74" s="81"/>
      <c r="AB74" s="81"/>
      <c r="AC74" s="81"/>
      <c r="AD74" s="81"/>
      <c r="AE74" s="81"/>
      <c r="AF74" s="81"/>
      <c r="AG74" s="81"/>
      <c r="AH74" s="81"/>
      <c r="AI74" s="81"/>
      <c r="AJ74" s="81"/>
    </row>
    <row r="75" spans="1:36" s="9" customFormat="1" ht="22.35" customHeight="1" x14ac:dyDescent="0.4">
      <c r="A75" s="2467" t="s">
        <v>139</v>
      </c>
      <c r="B75" s="2468"/>
      <c r="C75" s="2468"/>
      <c r="D75" s="1472">
        <v>1620</v>
      </c>
      <c r="E75" s="996">
        <v>34.9</v>
      </c>
      <c r="F75" s="1053">
        <v>0</v>
      </c>
      <c r="G75" s="1053">
        <v>0</v>
      </c>
      <c r="H75" s="1039">
        <f t="shared" ref="H75:H92" si="6">ROUND((E75+F75+G75),1)</f>
        <v>34.9</v>
      </c>
      <c r="I75" s="996">
        <v>1021.4</v>
      </c>
      <c r="J75" s="1053">
        <v>0</v>
      </c>
      <c r="K75" s="1040">
        <f t="shared" ref="K75:K92" si="7">ROUND((I75+J75),1)</f>
        <v>1021.4</v>
      </c>
      <c r="L75" s="845"/>
      <c r="M75" s="845"/>
      <c r="N75" s="605"/>
      <c r="O75" s="81"/>
      <c r="P75" s="81"/>
      <c r="Q75" s="81"/>
      <c r="R75" s="81"/>
      <c r="S75" s="81"/>
      <c r="T75" s="81"/>
      <c r="U75" s="81"/>
      <c r="V75" s="81"/>
      <c r="W75" s="81"/>
      <c r="X75" s="81"/>
      <c r="Y75" s="81"/>
      <c r="Z75" s="81"/>
      <c r="AA75" s="81"/>
      <c r="AB75" s="81"/>
      <c r="AC75" s="81"/>
      <c r="AD75" s="81"/>
      <c r="AE75" s="81"/>
      <c r="AF75" s="81"/>
      <c r="AG75" s="81"/>
      <c r="AH75" s="81"/>
      <c r="AI75" s="81"/>
      <c r="AJ75" s="81"/>
    </row>
    <row r="76" spans="1:36" s="9" customFormat="1" ht="22.35" customHeight="1" x14ac:dyDescent="0.4">
      <c r="A76" s="2465" t="s">
        <v>116</v>
      </c>
      <c r="B76" s="2466"/>
      <c r="C76" s="2466"/>
      <c r="D76" s="37">
        <v>1621</v>
      </c>
      <c r="E76" s="996">
        <v>0</v>
      </c>
      <c r="F76" s="1053">
        <v>0</v>
      </c>
      <c r="G76" s="1053">
        <v>0</v>
      </c>
      <c r="H76" s="1039">
        <f t="shared" si="6"/>
        <v>0</v>
      </c>
      <c r="I76" s="996">
        <v>0</v>
      </c>
      <c r="J76" s="1053">
        <v>0</v>
      </c>
      <c r="K76" s="1040">
        <f t="shared" si="7"/>
        <v>0</v>
      </c>
      <c r="L76" s="845"/>
      <c r="M76" s="845"/>
      <c r="N76" s="605"/>
      <c r="O76" s="81"/>
      <c r="P76" s="81"/>
      <c r="Q76" s="81"/>
      <c r="R76" s="81"/>
      <c r="S76" s="81"/>
      <c r="T76" s="81"/>
      <c r="U76" s="81"/>
      <c r="V76" s="81"/>
      <c r="W76" s="81"/>
      <c r="X76" s="81"/>
      <c r="Y76" s="81"/>
      <c r="Z76" s="81"/>
      <c r="AA76" s="81"/>
      <c r="AB76" s="81"/>
      <c r="AC76" s="81"/>
      <c r="AD76" s="81"/>
      <c r="AE76" s="81"/>
      <c r="AF76" s="81"/>
      <c r="AG76" s="81"/>
      <c r="AH76" s="81"/>
      <c r="AI76" s="81"/>
      <c r="AJ76" s="81"/>
    </row>
    <row r="77" spans="1:36" s="9" customFormat="1" ht="22.35" customHeight="1" x14ac:dyDescent="0.4">
      <c r="A77" s="2467" t="s">
        <v>140</v>
      </c>
      <c r="B77" s="2468"/>
      <c r="C77" s="2468"/>
      <c r="D77" s="1472">
        <v>1625</v>
      </c>
      <c r="E77" s="996">
        <v>0</v>
      </c>
      <c r="F77" s="1053">
        <v>0</v>
      </c>
      <c r="G77" s="1053">
        <v>0</v>
      </c>
      <c r="H77" s="1039">
        <f t="shared" si="6"/>
        <v>0</v>
      </c>
      <c r="I77" s="996">
        <v>1120.3</v>
      </c>
      <c r="J77" s="1053">
        <v>0</v>
      </c>
      <c r="K77" s="1040">
        <f t="shared" si="7"/>
        <v>1120.3</v>
      </c>
      <c r="L77" s="845"/>
      <c r="M77" s="845"/>
      <c r="N77" s="605"/>
      <c r="O77" s="81"/>
      <c r="P77" s="81"/>
      <c r="Q77" s="81"/>
      <c r="R77" s="81"/>
      <c r="S77" s="81"/>
      <c r="T77" s="81"/>
      <c r="U77" s="81"/>
      <c r="V77" s="81"/>
      <c r="W77" s="81"/>
      <c r="X77" s="81"/>
      <c r="Y77" s="81"/>
      <c r="Z77" s="81"/>
      <c r="AA77" s="81"/>
      <c r="AB77" s="81"/>
      <c r="AC77" s="81"/>
      <c r="AD77" s="81"/>
      <c r="AE77" s="81"/>
      <c r="AF77" s="81"/>
      <c r="AG77" s="81"/>
      <c r="AH77" s="81"/>
      <c r="AI77" s="81"/>
      <c r="AJ77" s="81"/>
    </row>
    <row r="78" spans="1:36" s="9" customFormat="1" ht="22.35" customHeight="1" x14ac:dyDescent="0.4">
      <c r="A78" s="2495" t="s">
        <v>147</v>
      </c>
      <c r="B78" s="2496"/>
      <c r="C78" s="2496"/>
      <c r="D78" s="1472">
        <v>1630</v>
      </c>
      <c r="E78" s="996">
        <v>178.9</v>
      </c>
      <c r="F78" s="1053">
        <v>0</v>
      </c>
      <c r="G78" s="1053">
        <v>0</v>
      </c>
      <c r="H78" s="1039">
        <f t="shared" si="6"/>
        <v>178.9</v>
      </c>
      <c r="I78" s="996">
        <v>4092.3</v>
      </c>
      <c r="J78" s="1053">
        <v>0</v>
      </c>
      <c r="K78" s="1040">
        <f t="shared" si="7"/>
        <v>4092.3</v>
      </c>
      <c r="L78" s="845"/>
      <c r="M78" s="845"/>
      <c r="N78" s="605"/>
      <c r="O78" s="81"/>
      <c r="P78" s="81"/>
      <c r="Q78" s="81"/>
      <c r="R78" s="81"/>
      <c r="S78" s="81"/>
      <c r="T78" s="81"/>
      <c r="U78" s="81"/>
      <c r="V78" s="81"/>
      <c r="W78" s="81"/>
      <c r="X78" s="81"/>
      <c r="Y78" s="81"/>
      <c r="Z78" s="81"/>
      <c r="AA78" s="81"/>
      <c r="AB78" s="81"/>
      <c r="AC78" s="81"/>
      <c r="AD78" s="81"/>
      <c r="AE78" s="81"/>
      <c r="AF78" s="81"/>
      <c r="AG78" s="81"/>
      <c r="AH78" s="81"/>
      <c r="AI78" s="81"/>
      <c r="AJ78" s="81"/>
    </row>
    <row r="79" spans="1:36" s="9" customFormat="1" ht="22.35" customHeight="1" x14ac:dyDescent="0.4">
      <c r="A79" s="2521" t="s">
        <v>225</v>
      </c>
      <c r="B79" s="2522"/>
      <c r="C79" s="2522"/>
      <c r="D79" s="129"/>
      <c r="E79" s="996">
        <v>0</v>
      </c>
      <c r="F79" s="1053">
        <v>0</v>
      </c>
      <c r="G79" s="1053">
        <v>0</v>
      </c>
      <c r="H79" s="1039">
        <f t="shared" si="6"/>
        <v>0</v>
      </c>
      <c r="I79" s="996">
        <v>0</v>
      </c>
      <c r="J79" s="1053">
        <v>0</v>
      </c>
      <c r="K79" s="1040">
        <f t="shared" si="7"/>
        <v>0</v>
      </c>
      <c r="L79" s="845"/>
      <c r="M79" s="845"/>
      <c r="N79" s="605"/>
      <c r="O79" s="81"/>
      <c r="P79" s="81"/>
      <c r="Q79" s="81"/>
      <c r="R79" s="81"/>
      <c r="S79" s="81"/>
      <c r="T79" s="81"/>
      <c r="U79" s="81"/>
      <c r="V79" s="81"/>
      <c r="W79" s="81"/>
      <c r="X79" s="81"/>
      <c r="Y79" s="81"/>
      <c r="Z79" s="81"/>
      <c r="AA79" s="81"/>
      <c r="AB79" s="81"/>
      <c r="AC79" s="81"/>
      <c r="AD79" s="81"/>
      <c r="AE79" s="81"/>
      <c r="AF79" s="81"/>
      <c r="AG79" s="81"/>
      <c r="AH79" s="81"/>
      <c r="AI79" s="81"/>
      <c r="AJ79" s="81"/>
    </row>
    <row r="80" spans="1:36" s="9" customFormat="1" ht="22.35" customHeight="1" x14ac:dyDescent="0.4">
      <c r="A80" s="2521" t="s">
        <v>145</v>
      </c>
      <c r="B80" s="2522"/>
      <c r="C80" s="2522"/>
      <c r="D80" s="129"/>
      <c r="E80" s="996">
        <v>0</v>
      </c>
      <c r="F80" s="1053">
        <v>0</v>
      </c>
      <c r="G80" s="1053">
        <v>0</v>
      </c>
      <c r="H80" s="1039">
        <f t="shared" si="6"/>
        <v>0</v>
      </c>
      <c r="I80" s="996">
        <v>0</v>
      </c>
      <c r="J80" s="1053">
        <v>0</v>
      </c>
      <c r="K80" s="1040">
        <f t="shared" si="7"/>
        <v>0</v>
      </c>
      <c r="L80" s="845"/>
      <c r="M80" s="845"/>
      <c r="N80" s="605"/>
      <c r="O80" s="81"/>
      <c r="P80" s="81"/>
      <c r="Q80" s="81"/>
      <c r="R80" s="81"/>
      <c r="S80" s="81"/>
      <c r="T80" s="81"/>
      <c r="U80" s="81"/>
      <c r="V80" s="81"/>
      <c r="W80" s="81"/>
      <c r="X80" s="81"/>
      <c r="Y80" s="81"/>
      <c r="Z80" s="81"/>
      <c r="AA80" s="81"/>
      <c r="AB80" s="81"/>
      <c r="AC80" s="81"/>
      <c r="AD80" s="81"/>
      <c r="AE80" s="81"/>
      <c r="AF80" s="81"/>
      <c r="AG80" s="81"/>
      <c r="AH80" s="81"/>
      <c r="AI80" s="81"/>
      <c r="AJ80" s="81"/>
    </row>
    <row r="81" spans="1:36" s="9" customFormat="1" ht="22.35" customHeight="1" x14ac:dyDescent="0.4">
      <c r="A81" s="2521" t="s">
        <v>146</v>
      </c>
      <c r="B81" s="2522"/>
      <c r="C81" s="2522"/>
      <c r="D81" s="129"/>
      <c r="E81" s="996">
        <v>0</v>
      </c>
      <c r="F81" s="1053">
        <v>0</v>
      </c>
      <c r="G81" s="1053">
        <v>0</v>
      </c>
      <c r="H81" s="1039">
        <f t="shared" si="6"/>
        <v>0</v>
      </c>
      <c r="I81" s="996">
        <v>0</v>
      </c>
      <c r="J81" s="1053">
        <v>0</v>
      </c>
      <c r="K81" s="1040">
        <f t="shared" si="7"/>
        <v>0</v>
      </c>
      <c r="L81" s="845"/>
      <c r="M81" s="845"/>
      <c r="N81" s="1358"/>
      <c r="O81" s="416"/>
      <c r="P81" s="81"/>
      <c r="Q81" s="81"/>
      <c r="R81" s="81"/>
      <c r="S81" s="81"/>
      <c r="T81" s="81"/>
      <c r="U81" s="81"/>
      <c r="V81" s="81"/>
      <c r="W81" s="81"/>
      <c r="X81" s="81"/>
      <c r="Y81" s="81"/>
      <c r="Z81" s="81"/>
      <c r="AA81" s="81"/>
      <c r="AB81" s="81"/>
      <c r="AC81" s="81"/>
      <c r="AD81" s="81"/>
      <c r="AE81" s="81"/>
      <c r="AF81" s="81"/>
      <c r="AG81" s="81"/>
      <c r="AH81" s="81"/>
      <c r="AI81" s="81"/>
      <c r="AJ81" s="81"/>
    </row>
    <row r="82" spans="1:36" s="9" customFormat="1" ht="19.149999999999999" customHeight="1" x14ac:dyDescent="0.4">
      <c r="A82" s="2535" t="s">
        <v>472</v>
      </c>
      <c r="B82" s="2536"/>
      <c r="C82" s="2537"/>
      <c r="D82" s="1472">
        <v>1635</v>
      </c>
      <c r="E82" s="996">
        <v>0</v>
      </c>
      <c r="F82" s="1053">
        <v>0</v>
      </c>
      <c r="G82" s="1053">
        <v>0</v>
      </c>
      <c r="H82" s="1039">
        <f t="shared" si="6"/>
        <v>0</v>
      </c>
      <c r="I82" s="996">
        <v>52.9</v>
      </c>
      <c r="J82" s="1053">
        <v>0</v>
      </c>
      <c r="K82" s="1040">
        <f t="shared" si="7"/>
        <v>52.9</v>
      </c>
      <c r="L82" s="845"/>
      <c r="M82" s="845"/>
      <c r="N82" s="605"/>
      <c r="O82" s="81"/>
      <c r="P82" s="81"/>
      <c r="Q82" s="81"/>
      <c r="R82" s="81"/>
      <c r="S82" s="81"/>
      <c r="T82" s="81"/>
      <c r="U82" s="81"/>
      <c r="V82" s="81"/>
      <c r="W82" s="81"/>
      <c r="X82" s="81"/>
      <c r="Y82" s="81"/>
      <c r="Z82" s="81"/>
      <c r="AA82" s="81"/>
      <c r="AB82" s="81"/>
      <c r="AC82" s="81"/>
      <c r="AD82" s="81"/>
      <c r="AE82" s="81"/>
      <c r="AF82" s="81"/>
      <c r="AG82" s="81"/>
      <c r="AH82" s="81"/>
      <c r="AI82" s="81"/>
      <c r="AJ82" s="81"/>
    </row>
    <row r="83" spans="1:36" s="9" customFormat="1" ht="21.75" customHeight="1" x14ac:dyDescent="0.3">
      <c r="A83" s="2493" t="s">
        <v>735</v>
      </c>
      <c r="B83" s="2494"/>
      <c r="C83" s="2494"/>
      <c r="D83" s="129"/>
      <c r="E83" s="996">
        <v>0</v>
      </c>
      <c r="F83" s="1053">
        <v>0</v>
      </c>
      <c r="G83" s="1053">
        <v>0</v>
      </c>
      <c r="H83" s="1039">
        <f t="shared" si="6"/>
        <v>0</v>
      </c>
      <c r="I83" s="996">
        <v>0</v>
      </c>
      <c r="J83" s="1053">
        <v>0</v>
      </c>
      <c r="K83" s="1040">
        <f t="shared" si="7"/>
        <v>0</v>
      </c>
      <c r="P83" s="1559"/>
      <c r="Q83" s="1560"/>
      <c r="R83" s="1561"/>
      <c r="S83" s="1562"/>
      <c r="T83" s="1560"/>
      <c r="U83" s="1561"/>
      <c r="V83" s="1562"/>
      <c r="W83" s="81"/>
      <c r="X83" s="81"/>
      <c r="Y83" s="81"/>
      <c r="Z83" s="81"/>
      <c r="AA83" s="81"/>
      <c r="AB83" s="81"/>
      <c r="AC83" s="81"/>
      <c r="AD83" s="81"/>
      <c r="AE83" s="81"/>
      <c r="AF83" s="81"/>
      <c r="AG83" s="81"/>
      <c r="AH83" s="81"/>
      <c r="AI83" s="81"/>
      <c r="AJ83" s="81"/>
    </row>
    <row r="84" spans="1:36" s="9" customFormat="1" ht="40.5" customHeight="1" x14ac:dyDescent="0.3">
      <c r="A84" s="2461" t="s">
        <v>1750</v>
      </c>
      <c r="B84" s="2461"/>
      <c r="C84" s="2462"/>
      <c r="D84" s="1598"/>
      <c r="E84" s="996">
        <v>0</v>
      </c>
      <c r="F84" s="1053">
        <v>0</v>
      </c>
      <c r="G84" s="1053">
        <v>0</v>
      </c>
      <c r="H84" s="1039">
        <f t="shared" si="6"/>
        <v>0</v>
      </c>
      <c r="I84" s="996">
        <v>0</v>
      </c>
      <c r="J84" s="1053">
        <v>0</v>
      </c>
      <c r="K84" s="1040">
        <f t="shared" si="7"/>
        <v>0</v>
      </c>
      <c r="L84" s="1564"/>
      <c r="M84" s="1564"/>
      <c r="N84" s="1558"/>
      <c r="O84" s="1558"/>
      <c r="P84" s="1559"/>
      <c r="Q84" s="1560"/>
      <c r="R84" s="1561"/>
      <c r="S84" s="1562"/>
      <c r="T84" s="1560"/>
      <c r="U84" s="1561"/>
      <c r="V84" s="1562"/>
      <c r="W84" s="81"/>
      <c r="X84" s="81"/>
      <c r="Y84" s="81"/>
      <c r="Z84" s="81"/>
      <c r="AA84" s="81"/>
      <c r="AB84" s="81"/>
      <c r="AC84" s="81"/>
      <c r="AD84" s="81"/>
      <c r="AE84" s="81"/>
      <c r="AF84" s="81"/>
      <c r="AG84" s="81"/>
      <c r="AH84" s="81"/>
      <c r="AI84" s="81"/>
      <c r="AJ84" s="81"/>
    </row>
    <row r="85" spans="1:36" s="9" customFormat="1" ht="22.35" customHeight="1" x14ac:dyDescent="0.4">
      <c r="A85" s="2495" t="s">
        <v>141</v>
      </c>
      <c r="B85" s="2496"/>
      <c r="C85" s="2496"/>
      <c r="D85" s="1472">
        <v>1660</v>
      </c>
      <c r="E85" s="996">
        <v>0</v>
      </c>
      <c r="F85" s="1053">
        <v>0</v>
      </c>
      <c r="G85" s="1053">
        <v>0</v>
      </c>
      <c r="H85" s="1039">
        <f t="shared" si="6"/>
        <v>0</v>
      </c>
      <c r="I85" s="996">
        <v>0</v>
      </c>
      <c r="J85" s="1053">
        <v>0</v>
      </c>
      <c r="K85" s="1040">
        <f t="shared" si="7"/>
        <v>0</v>
      </c>
      <c r="L85" s="845"/>
      <c r="M85" s="845"/>
      <c r="N85" s="605" t="s">
        <v>734</v>
      </c>
      <c r="O85" s="81"/>
      <c r="P85" s="81"/>
      <c r="Q85" s="81"/>
      <c r="R85" s="81"/>
      <c r="S85" s="81"/>
      <c r="T85" s="81"/>
      <c r="U85" s="81"/>
      <c r="V85" s="81"/>
      <c r="W85" s="81"/>
      <c r="X85" s="81"/>
      <c r="Y85" s="81"/>
      <c r="Z85" s="81"/>
      <c r="AA85" s="81"/>
      <c r="AB85" s="81"/>
      <c r="AC85" s="81"/>
      <c r="AD85" s="81"/>
      <c r="AE85" s="81"/>
      <c r="AF85" s="81"/>
      <c r="AG85" s="81"/>
      <c r="AH85" s="81"/>
      <c r="AI85" s="81"/>
      <c r="AJ85" s="81"/>
    </row>
    <row r="86" spans="1:36" s="9" customFormat="1" ht="29.65" customHeight="1" x14ac:dyDescent="0.4">
      <c r="A86" s="2532" t="s">
        <v>796</v>
      </c>
      <c r="B86" s="2533"/>
      <c r="C86" s="2533"/>
      <c r="D86" s="129">
        <v>1665</v>
      </c>
      <c r="E86" s="996">
        <v>244.9</v>
      </c>
      <c r="F86" s="1053">
        <v>0</v>
      </c>
      <c r="G86" s="1053">
        <v>0</v>
      </c>
      <c r="H86" s="1039">
        <f t="shared" si="6"/>
        <v>244.9</v>
      </c>
      <c r="I86" s="996">
        <v>194.8</v>
      </c>
      <c r="J86" s="1053">
        <v>0</v>
      </c>
      <c r="K86" s="1040">
        <f t="shared" si="7"/>
        <v>194.8</v>
      </c>
      <c r="L86" s="845"/>
      <c r="M86" s="845"/>
      <c r="N86" s="605"/>
      <c r="O86" s="81"/>
      <c r="P86" s="81"/>
      <c r="Q86" s="81"/>
      <c r="R86" s="81"/>
      <c r="S86" s="81"/>
      <c r="T86" s="81"/>
      <c r="U86" s="81"/>
      <c r="V86" s="81"/>
      <c r="W86" s="81"/>
      <c r="X86" s="81"/>
      <c r="Y86" s="81"/>
      <c r="Z86" s="81"/>
      <c r="AA86" s="81"/>
      <c r="AB86" s="81"/>
      <c r="AC86" s="81"/>
      <c r="AD86" s="81"/>
      <c r="AE86" s="81"/>
      <c r="AF86" s="81"/>
      <c r="AG86" s="81"/>
      <c r="AH86" s="81"/>
      <c r="AI86" s="81"/>
      <c r="AJ86" s="81"/>
    </row>
    <row r="87" spans="1:36" s="9" customFormat="1" ht="38.25" customHeight="1" x14ac:dyDescent="0.4">
      <c r="A87" s="2505" t="s">
        <v>795</v>
      </c>
      <c r="B87" s="2461"/>
      <c r="C87" s="2462"/>
      <c r="D87" s="129"/>
      <c r="E87" s="996">
        <v>244.9</v>
      </c>
      <c r="F87" s="1053">
        <v>0</v>
      </c>
      <c r="G87" s="1053">
        <v>0</v>
      </c>
      <c r="H87" s="1039">
        <f t="shared" si="6"/>
        <v>244.9</v>
      </c>
      <c r="I87" s="996">
        <v>194.8</v>
      </c>
      <c r="J87" s="1053">
        <v>0</v>
      </c>
      <c r="K87" s="1040">
        <f t="shared" si="7"/>
        <v>194.8</v>
      </c>
      <c r="L87" s="845"/>
      <c r="M87" s="845"/>
      <c r="N87" s="605"/>
      <c r="O87" s="81"/>
      <c r="P87" s="81"/>
      <c r="Q87" s="81"/>
      <c r="R87" s="81"/>
      <c r="S87" s="81"/>
      <c r="T87" s="81"/>
      <c r="U87" s="81"/>
      <c r="V87" s="81"/>
      <c r="W87" s="81"/>
      <c r="X87" s="81"/>
      <c r="Y87" s="81"/>
      <c r="Z87" s="81"/>
      <c r="AA87" s="81"/>
      <c r="AB87" s="81"/>
      <c r="AC87" s="81"/>
      <c r="AD87" s="81"/>
      <c r="AE87" s="81"/>
      <c r="AF87" s="81"/>
      <c r="AG87" s="81"/>
      <c r="AH87" s="81"/>
      <c r="AI87" s="81"/>
      <c r="AJ87" s="81"/>
    </row>
    <row r="88" spans="1:36" s="9" customFormat="1" x14ac:dyDescent="0.3">
      <c r="A88" s="2518" t="s">
        <v>797</v>
      </c>
      <c r="B88" s="2519"/>
      <c r="C88" s="2520"/>
      <c r="D88" s="1472"/>
      <c r="E88" s="1041">
        <f t="shared" ref="E88:J88" si="8">ROUND((E86-E87),1)</f>
        <v>0</v>
      </c>
      <c r="F88" s="1057">
        <f t="shared" si="8"/>
        <v>0</v>
      </c>
      <c r="G88" s="1057">
        <f>ROUND((G86-G87),1)</f>
        <v>0</v>
      </c>
      <c r="H88" s="1039">
        <f t="shared" si="6"/>
        <v>0</v>
      </c>
      <c r="I88" s="1041">
        <f t="shared" si="8"/>
        <v>0</v>
      </c>
      <c r="J88" s="1057">
        <f t="shared" si="8"/>
        <v>0</v>
      </c>
      <c r="K88" s="1040">
        <f t="shared" si="7"/>
        <v>0</v>
      </c>
      <c r="L88" s="850">
        <v>8</v>
      </c>
      <c r="M88" s="850"/>
      <c r="N88" s="605"/>
      <c r="O88" s="81"/>
      <c r="P88" s="81"/>
      <c r="Q88" s="81"/>
      <c r="R88" s="81"/>
      <c r="S88" s="81"/>
      <c r="T88" s="81"/>
      <c r="U88" s="81"/>
      <c r="V88" s="81"/>
      <c r="W88" s="81"/>
      <c r="X88" s="81"/>
      <c r="Y88" s="81"/>
      <c r="Z88" s="81"/>
      <c r="AA88" s="81"/>
      <c r="AB88" s="81"/>
      <c r="AC88" s="81"/>
      <c r="AD88" s="81"/>
      <c r="AE88" s="81"/>
      <c r="AF88" s="81"/>
      <c r="AG88" s="81"/>
      <c r="AH88" s="81"/>
      <c r="AI88" s="81"/>
      <c r="AJ88" s="81"/>
    </row>
    <row r="89" spans="1:36" s="9" customFormat="1" ht="24" customHeight="1" x14ac:dyDescent="0.4">
      <c r="A89" s="2495" t="s">
        <v>142</v>
      </c>
      <c r="B89" s="2496"/>
      <c r="C89" s="2496"/>
      <c r="D89" s="1472">
        <v>1690</v>
      </c>
      <c r="E89" s="1005">
        <v>0</v>
      </c>
      <c r="F89" s="1056">
        <v>0</v>
      </c>
      <c r="G89" s="1056">
        <v>0</v>
      </c>
      <c r="H89" s="1039">
        <f t="shared" si="6"/>
        <v>0</v>
      </c>
      <c r="I89" s="1005">
        <v>0</v>
      </c>
      <c r="J89" s="1056">
        <v>0</v>
      </c>
      <c r="K89" s="1040">
        <f t="shared" si="7"/>
        <v>0</v>
      </c>
      <c r="L89" s="845"/>
      <c r="M89" s="845"/>
      <c r="N89" s="1357" t="s">
        <v>733</v>
      </c>
      <c r="O89" s="81"/>
      <c r="P89" s="81"/>
      <c r="Q89" s="81"/>
      <c r="R89" s="81"/>
      <c r="S89" s="81"/>
      <c r="T89" s="81"/>
      <c r="U89" s="81"/>
      <c r="V89" s="81"/>
      <c r="W89" s="81"/>
      <c r="X89" s="81"/>
      <c r="Y89" s="81"/>
      <c r="Z89" s="81"/>
      <c r="AA89" s="81"/>
      <c r="AB89" s="81"/>
      <c r="AC89" s="81"/>
      <c r="AD89" s="81"/>
      <c r="AE89" s="81"/>
      <c r="AF89" s="81"/>
      <c r="AG89" s="81"/>
      <c r="AH89" s="81"/>
      <c r="AI89" s="81"/>
      <c r="AJ89" s="81"/>
    </row>
    <row r="90" spans="1:36" s="9" customFormat="1" ht="22.35" customHeight="1" thickBot="1" x14ac:dyDescent="0.4">
      <c r="A90" s="2524" t="s">
        <v>143</v>
      </c>
      <c r="B90" s="2525"/>
      <c r="C90" s="2525"/>
      <c r="D90" s="224">
        <v>1695</v>
      </c>
      <c r="E90" s="1043">
        <f t="shared" ref="E90:J90" si="9">SUM(E71,E73,E74,E75,E77,E78,E85,E86,E89,E82)</f>
        <v>1496.8000000000002</v>
      </c>
      <c r="F90" s="1044">
        <f t="shared" si="9"/>
        <v>0</v>
      </c>
      <c r="G90" s="1044">
        <f>SUM(G71,G73,G74,G75,G77,G78,G85,G86,G89,G82)</f>
        <v>0</v>
      </c>
      <c r="H90" s="1039">
        <f t="shared" si="6"/>
        <v>1496.8</v>
      </c>
      <c r="I90" s="1043">
        <f t="shared" si="9"/>
        <v>6996.8</v>
      </c>
      <c r="J90" s="1044">
        <f t="shared" si="9"/>
        <v>0</v>
      </c>
      <c r="K90" s="1040">
        <f t="shared" si="7"/>
        <v>6996.8</v>
      </c>
      <c r="L90" s="851"/>
      <c r="M90" s="851"/>
      <c r="N90" s="605"/>
      <c r="O90" s="81"/>
      <c r="P90" s="81"/>
      <c r="Q90" s="81"/>
      <c r="R90" s="81"/>
      <c r="S90" s="81"/>
      <c r="T90" s="81"/>
      <c r="U90" s="81"/>
      <c r="V90" s="81"/>
      <c r="W90" s="81"/>
      <c r="X90" s="81"/>
      <c r="Y90" s="81"/>
      <c r="Z90" s="81"/>
      <c r="AA90" s="81"/>
      <c r="AB90" s="81"/>
      <c r="AC90" s="81"/>
      <c r="AD90" s="81"/>
      <c r="AE90" s="81"/>
      <c r="AF90" s="81"/>
      <c r="AG90" s="81"/>
      <c r="AH90" s="81"/>
      <c r="AI90" s="81"/>
      <c r="AJ90" s="81"/>
    </row>
    <row r="91" spans="1:36" s="9" customFormat="1" ht="48" customHeight="1" thickBot="1" x14ac:dyDescent="0.4">
      <c r="A91" s="2526" t="s">
        <v>332</v>
      </c>
      <c r="B91" s="2527"/>
      <c r="C91" s="2527"/>
      <c r="D91" s="225">
        <v>1700</v>
      </c>
      <c r="E91" s="999">
        <v>0</v>
      </c>
      <c r="F91" s="1054">
        <v>0</v>
      </c>
      <c r="G91" s="1054">
        <v>0</v>
      </c>
      <c r="H91" s="1039">
        <f t="shared" si="6"/>
        <v>0</v>
      </c>
      <c r="I91" s="999">
        <v>0</v>
      </c>
      <c r="J91" s="1054">
        <v>0</v>
      </c>
      <c r="K91" s="1040">
        <f t="shared" si="7"/>
        <v>0</v>
      </c>
      <c r="L91" s="849"/>
      <c r="M91" s="849"/>
      <c r="N91" s="605"/>
      <c r="O91" s="81"/>
      <c r="P91" s="81"/>
      <c r="Q91" s="81"/>
      <c r="R91" s="81"/>
      <c r="S91" s="81"/>
      <c r="T91" s="81"/>
      <c r="U91" s="81"/>
      <c r="V91" s="81"/>
      <c r="W91" s="81"/>
      <c r="X91" s="81"/>
      <c r="Y91" s="81"/>
      <c r="Z91" s="81"/>
      <c r="AA91" s="81"/>
      <c r="AB91" s="81"/>
      <c r="AC91" s="81"/>
      <c r="AD91" s="81"/>
      <c r="AE91" s="81"/>
      <c r="AF91" s="81"/>
      <c r="AG91" s="81"/>
      <c r="AH91" s="81"/>
      <c r="AI91" s="81"/>
      <c r="AJ91" s="81"/>
    </row>
    <row r="92" spans="1:36" s="9" customFormat="1" ht="22.35" customHeight="1" thickBot="1" x14ac:dyDescent="0.4">
      <c r="A92" s="2530" t="s">
        <v>123</v>
      </c>
      <c r="B92" s="2531"/>
      <c r="C92" s="2531"/>
      <c r="D92" s="1048">
        <v>1900</v>
      </c>
      <c r="E92" s="1049">
        <f>SUM(E59,E69,E90,E91)</f>
        <v>71621.5</v>
      </c>
      <c r="F92" s="1050">
        <f>SUM(F59,F69,F90,F91)</f>
        <v>0</v>
      </c>
      <c r="G92" s="1050">
        <f>SUM(G59,G69,G90,G91)</f>
        <v>9919.4</v>
      </c>
      <c r="H92" s="1039">
        <f t="shared" si="6"/>
        <v>81540.899999999994</v>
      </c>
      <c r="I92" s="1049">
        <f>SUM(I59,I69,I90,I91)</f>
        <v>81089</v>
      </c>
      <c r="J92" s="1050">
        <f>SUM(J59,J69,J90,J91)</f>
        <v>0</v>
      </c>
      <c r="K92" s="1040">
        <f t="shared" si="7"/>
        <v>81089</v>
      </c>
      <c r="L92" s="849"/>
      <c r="M92" s="849"/>
      <c r="N92" s="605"/>
      <c r="O92" s="81"/>
      <c r="P92" s="81"/>
      <c r="Q92" s="81"/>
      <c r="R92" s="81"/>
      <c r="S92" s="81"/>
      <c r="T92" s="81"/>
      <c r="U92" s="81"/>
      <c r="V92" s="81"/>
      <c r="W92" s="81"/>
      <c r="X92" s="81"/>
      <c r="Y92" s="81"/>
      <c r="Z92" s="81"/>
      <c r="AA92" s="81"/>
      <c r="AB92" s="81"/>
      <c r="AC92" s="81"/>
      <c r="AD92" s="81"/>
      <c r="AE92" s="81"/>
      <c r="AF92" s="81"/>
      <c r="AG92" s="81"/>
      <c r="AH92" s="81"/>
      <c r="AI92" s="81"/>
      <c r="AJ92" s="81"/>
    </row>
    <row r="93" spans="1:36" x14ac:dyDescent="0.25">
      <c r="A93" s="8"/>
      <c r="B93" s="6"/>
      <c r="C93" s="6"/>
      <c r="D93" s="2534" t="s">
        <v>1610</v>
      </c>
      <c r="E93" s="2534"/>
      <c r="F93" s="2534"/>
      <c r="G93" s="2534"/>
      <c r="H93" s="2534"/>
      <c r="I93" s="2534"/>
    </row>
    <row r="94" spans="1:36" s="12" customFormat="1" ht="49.35" customHeight="1" x14ac:dyDescent="0.25">
      <c r="A94" s="2187" t="s">
        <v>220</v>
      </c>
      <c r="B94" s="2187"/>
      <c r="C94" s="2187"/>
      <c r="D94" s="2523" t="s">
        <v>1878</v>
      </c>
      <c r="E94" s="2523"/>
      <c r="F94" s="2523"/>
      <c r="G94" s="2523"/>
      <c r="H94" s="2523"/>
      <c r="I94" s="2523"/>
      <c r="J94" s="1059"/>
      <c r="K94" s="52"/>
      <c r="L94" s="842"/>
      <c r="M94" s="842"/>
      <c r="N94" s="1359"/>
      <c r="O94" s="87"/>
      <c r="P94" s="87"/>
      <c r="Q94" s="87"/>
      <c r="R94" s="87"/>
      <c r="S94" s="87"/>
      <c r="T94" s="87"/>
      <c r="U94" s="87"/>
      <c r="V94" s="87"/>
      <c r="W94" s="87"/>
      <c r="X94" s="87"/>
      <c r="Y94" s="87"/>
      <c r="Z94" s="87"/>
      <c r="AA94" s="87"/>
      <c r="AB94" s="87"/>
      <c r="AC94" s="87"/>
      <c r="AD94" s="87"/>
      <c r="AE94" s="87"/>
      <c r="AF94" s="87"/>
      <c r="AG94" s="87"/>
      <c r="AH94" s="87"/>
      <c r="AI94" s="87"/>
      <c r="AJ94" s="87"/>
    </row>
    <row r="95" spans="1:36" s="12" customFormat="1" ht="42.6" customHeight="1" x14ac:dyDescent="0.25">
      <c r="A95" s="2187" t="s">
        <v>219</v>
      </c>
      <c r="B95" s="2187"/>
      <c r="C95" s="2187"/>
      <c r="D95" s="2523">
        <v>555</v>
      </c>
      <c r="E95" s="2523"/>
      <c r="F95" s="2523"/>
      <c r="G95" s="2523"/>
      <c r="H95" s="2523"/>
      <c r="I95" s="2523"/>
      <c r="J95" s="1059"/>
      <c r="K95" s="52"/>
      <c r="L95" s="842"/>
      <c r="M95" s="842"/>
      <c r="N95" s="1359"/>
      <c r="O95" s="87"/>
      <c r="P95" s="87"/>
      <c r="Q95" s="87"/>
      <c r="R95" s="87"/>
      <c r="S95" s="87"/>
      <c r="T95" s="87"/>
      <c r="U95" s="87"/>
      <c r="V95" s="87"/>
      <c r="W95" s="87"/>
      <c r="X95" s="87"/>
      <c r="Y95" s="87"/>
      <c r="Z95" s="87"/>
      <c r="AA95" s="87"/>
      <c r="AB95" s="87"/>
      <c r="AC95" s="87"/>
      <c r="AD95" s="87"/>
      <c r="AE95" s="87"/>
      <c r="AF95" s="87"/>
      <c r="AG95" s="87"/>
      <c r="AH95" s="87"/>
      <c r="AI95" s="87"/>
      <c r="AJ95" s="87"/>
    </row>
    <row r="96" spans="1:36" s="12" customFormat="1" ht="30.6" customHeight="1" x14ac:dyDescent="0.25">
      <c r="A96" s="2187" t="s">
        <v>221</v>
      </c>
      <c r="B96" s="2187"/>
      <c r="C96" s="2187"/>
      <c r="D96" s="2523" t="s">
        <v>1879</v>
      </c>
      <c r="E96" s="2523"/>
      <c r="F96" s="2523"/>
      <c r="G96" s="2523"/>
      <c r="H96" s="2523"/>
      <c r="I96" s="2523"/>
      <c r="J96" s="1059"/>
      <c r="K96" s="52"/>
      <c r="L96" s="842"/>
      <c r="M96" s="842"/>
      <c r="N96" s="1359"/>
      <c r="O96" s="87"/>
      <c r="P96" s="87"/>
      <c r="Q96" s="87"/>
      <c r="R96" s="87"/>
      <c r="S96" s="87"/>
      <c r="T96" s="87"/>
      <c r="U96" s="87"/>
      <c r="V96" s="87"/>
      <c r="W96" s="87"/>
      <c r="X96" s="87"/>
      <c r="Y96" s="87"/>
      <c r="Z96" s="87"/>
      <c r="AA96" s="87"/>
      <c r="AB96" s="87"/>
      <c r="AC96" s="87"/>
      <c r="AD96" s="87"/>
      <c r="AE96" s="87"/>
      <c r="AF96" s="87"/>
      <c r="AG96" s="87"/>
      <c r="AH96" s="87"/>
      <c r="AI96" s="87"/>
      <c r="AJ96" s="87"/>
    </row>
    <row r="97" spans="1:36" s="12" customFormat="1" ht="24" customHeight="1" x14ac:dyDescent="0.25">
      <c r="A97" s="2187" t="s">
        <v>93</v>
      </c>
      <c r="B97" s="2187"/>
      <c r="C97" s="2187"/>
      <c r="D97" s="2523">
        <v>676024392</v>
      </c>
      <c r="E97" s="2523"/>
      <c r="F97" s="2523"/>
      <c r="G97" s="2523"/>
      <c r="H97" s="2523"/>
      <c r="I97" s="2523"/>
      <c r="J97" s="1059"/>
      <c r="K97" s="52"/>
      <c r="L97" s="842"/>
      <c r="M97" s="842"/>
      <c r="N97" s="1359"/>
      <c r="O97" s="87"/>
      <c r="P97" s="87"/>
      <c r="Q97" s="87"/>
      <c r="R97" s="87"/>
      <c r="S97" s="87"/>
      <c r="T97" s="87"/>
      <c r="U97" s="87"/>
      <c r="V97" s="87"/>
      <c r="W97" s="87"/>
      <c r="X97" s="87"/>
      <c r="Y97" s="87"/>
      <c r="Z97" s="87"/>
      <c r="AA97" s="87"/>
      <c r="AB97" s="87"/>
      <c r="AC97" s="87"/>
      <c r="AD97" s="87"/>
      <c r="AE97" s="87"/>
      <c r="AF97" s="87"/>
      <c r="AG97" s="87"/>
      <c r="AH97" s="87"/>
      <c r="AI97" s="87"/>
      <c r="AJ97" s="87"/>
    </row>
    <row r="98" spans="1:36" s="12" customFormat="1" ht="25.35" customHeight="1" x14ac:dyDescent="0.25">
      <c r="A98" s="2187" t="s">
        <v>222</v>
      </c>
      <c r="B98" s="2187"/>
      <c r="C98" s="2187"/>
      <c r="D98" s="2523" t="s">
        <v>1877</v>
      </c>
      <c r="E98" s="2523"/>
      <c r="F98" s="2523"/>
      <c r="G98" s="2523"/>
      <c r="H98" s="2523"/>
      <c r="I98" s="2523"/>
      <c r="J98" s="1059"/>
      <c r="K98" s="52"/>
      <c r="L98" s="842"/>
      <c r="M98" s="842"/>
      <c r="N98" s="1359"/>
      <c r="O98" s="87"/>
      <c r="P98" s="87"/>
      <c r="Q98" s="87"/>
      <c r="R98" s="87"/>
      <c r="S98" s="87"/>
      <c r="T98" s="87"/>
      <c r="U98" s="87"/>
      <c r="V98" s="87"/>
      <c r="W98" s="87"/>
      <c r="X98" s="87"/>
      <c r="Y98" s="87"/>
      <c r="Z98" s="87"/>
      <c r="AA98" s="87"/>
      <c r="AB98" s="87"/>
      <c r="AC98" s="87"/>
      <c r="AD98" s="87"/>
      <c r="AE98" s="87"/>
      <c r="AF98" s="87"/>
      <c r="AG98" s="87"/>
      <c r="AH98" s="87"/>
      <c r="AI98" s="87"/>
      <c r="AJ98" s="87"/>
    </row>
    <row r="99" spans="1:36" s="87" customFormat="1" x14ac:dyDescent="0.25">
      <c r="A99" s="84"/>
      <c r="B99" s="88"/>
      <c r="C99" s="88"/>
      <c r="D99" s="88"/>
      <c r="E99" s="84"/>
      <c r="F99" s="144"/>
      <c r="G99" s="144"/>
      <c r="H99" s="84"/>
      <c r="I99" s="84"/>
      <c r="J99" s="1061"/>
      <c r="K99" s="85"/>
      <c r="L99" s="844"/>
      <c r="M99" s="844"/>
      <c r="N99" s="1359"/>
    </row>
    <row r="100" spans="1:36" s="87" customFormat="1" x14ac:dyDescent="0.25">
      <c r="A100" s="84"/>
      <c r="B100" s="88"/>
      <c r="C100" s="88"/>
      <c r="D100" s="88"/>
      <c r="E100" s="84"/>
      <c r="F100" s="144"/>
      <c r="G100" s="144"/>
      <c r="H100" s="84"/>
      <c r="I100" s="84"/>
      <c r="J100" s="1061"/>
      <c r="K100" s="85"/>
      <c r="L100" s="844"/>
      <c r="M100" s="844"/>
      <c r="N100" s="1359"/>
    </row>
    <row r="101" spans="1:36" s="87" customFormat="1" x14ac:dyDescent="0.25">
      <c r="A101" s="84"/>
      <c r="B101" s="88"/>
      <c r="C101" s="88"/>
      <c r="D101" s="88"/>
      <c r="E101" s="84"/>
      <c r="F101" s="144"/>
      <c r="G101" s="144"/>
      <c r="H101" s="84"/>
      <c r="I101" s="84"/>
      <c r="J101" s="1061"/>
      <c r="K101" s="85"/>
      <c r="L101" s="844"/>
      <c r="M101" s="844"/>
      <c r="N101" s="1359"/>
    </row>
    <row r="102" spans="1:36" s="87" customFormat="1" x14ac:dyDescent="0.25">
      <c r="A102" s="84"/>
      <c r="B102" s="88"/>
      <c r="C102" s="88"/>
      <c r="D102" s="88"/>
      <c r="E102" s="84"/>
      <c r="F102" s="144"/>
      <c r="G102" s="144"/>
      <c r="H102" s="84"/>
      <c r="I102" s="84"/>
      <c r="J102" s="1061"/>
      <c r="K102" s="85"/>
      <c r="L102" s="844"/>
      <c r="M102" s="844"/>
      <c r="N102" s="1359"/>
    </row>
    <row r="103" spans="1:36" s="87" customFormat="1" x14ac:dyDescent="0.25">
      <c r="A103" s="84"/>
      <c r="B103" s="88"/>
      <c r="C103" s="88"/>
      <c r="D103" s="88"/>
      <c r="E103" s="84"/>
      <c r="F103" s="144"/>
      <c r="G103" s="144"/>
      <c r="H103" s="84"/>
      <c r="I103" s="84"/>
      <c r="J103" s="1061"/>
      <c r="K103" s="85"/>
      <c r="L103" s="844"/>
      <c r="M103" s="844"/>
      <c r="N103" s="1359"/>
    </row>
    <row r="104" spans="1:36" s="87" customFormat="1" x14ac:dyDescent="0.25">
      <c r="A104" s="84"/>
      <c r="B104" s="88"/>
      <c r="C104" s="88"/>
      <c r="D104" s="88"/>
      <c r="E104" s="84"/>
      <c r="F104" s="144"/>
      <c r="G104" s="144"/>
      <c r="H104" s="84"/>
      <c r="I104" s="84"/>
      <c r="J104" s="1061"/>
      <c r="K104" s="85"/>
      <c r="L104" s="844"/>
      <c r="M104" s="844"/>
      <c r="N104" s="1359"/>
    </row>
    <row r="105" spans="1:36" s="87" customFormat="1" x14ac:dyDescent="0.25">
      <c r="A105" s="84"/>
      <c r="B105" s="88"/>
      <c r="C105" s="88"/>
      <c r="D105" s="88"/>
      <c r="E105" s="84"/>
      <c r="F105" s="144"/>
      <c r="G105" s="144"/>
      <c r="H105" s="84"/>
      <c r="I105" s="84"/>
      <c r="J105" s="1061"/>
      <c r="K105" s="85"/>
      <c r="L105" s="844"/>
      <c r="M105" s="844"/>
      <c r="N105" s="1359"/>
    </row>
    <row r="106" spans="1:36" s="87" customFormat="1" x14ac:dyDescent="0.25">
      <c r="A106" s="84"/>
      <c r="B106" s="88"/>
      <c r="C106" s="88"/>
      <c r="D106" s="88"/>
      <c r="E106" s="84"/>
      <c r="F106" s="144"/>
      <c r="G106" s="144"/>
      <c r="H106" s="84"/>
      <c r="I106" s="84"/>
      <c r="J106" s="1061"/>
      <c r="K106" s="85"/>
      <c r="L106" s="844"/>
      <c r="M106" s="844"/>
      <c r="N106" s="1359"/>
    </row>
    <row r="107" spans="1:36" s="87" customFormat="1" x14ac:dyDescent="0.25">
      <c r="A107" s="84"/>
      <c r="B107" s="88"/>
      <c r="C107" s="88"/>
      <c r="D107" s="88"/>
      <c r="E107" s="84"/>
      <c r="F107" s="144"/>
      <c r="G107" s="144"/>
      <c r="H107" s="84"/>
      <c r="I107" s="84"/>
      <c r="J107" s="1061"/>
      <c r="K107" s="85"/>
      <c r="L107" s="844"/>
      <c r="M107" s="844"/>
      <c r="N107" s="1359"/>
    </row>
    <row r="108" spans="1:36" s="84" customFormat="1" x14ac:dyDescent="0.25">
      <c r="B108" s="88"/>
      <c r="C108" s="88"/>
      <c r="D108" s="88"/>
      <c r="E108" s="89"/>
      <c r="F108" s="145"/>
      <c r="G108" s="145"/>
      <c r="H108" s="89"/>
      <c r="I108" s="89"/>
      <c r="J108" s="1061"/>
      <c r="K108" s="85"/>
      <c r="L108" s="844"/>
      <c r="M108" s="844"/>
      <c r="N108" s="1356"/>
    </row>
    <row r="109" spans="1:36" s="84" customFormat="1" x14ac:dyDescent="0.25">
      <c r="B109" s="88"/>
      <c r="C109" s="88"/>
      <c r="D109" s="88"/>
      <c r="E109" s="89"/>
      <c r="F109" s="145"/>
      <c r="G109" s="145"/>
      <c r="H109" s="89"/>
      <c r="I109" s="89"/>
      <c r="J109" s="1061"/>
      <c r="K109" s="85"/>
      <c r="L109" s="844"/>
      <c r="M109" s="844"/>
      <c r="N109" s="1356"/>
    </row>
    <row r="110" spans="1:36" s="84" customFormat="1" x14ac:dyDescent="0.25">
      <c r="B110" s="88"/>
      <c r="C110" s="88"/>
      <c r="D110" s="88"/>
      <c r="E110" s="89"/>
      <c r="F110" s="145"/>
      <c r="G110" s="145"/>
      <c r="H110" s="89"/>
      <c r="I110" s="89"/>
      <c r="J110" s="1061"/>
      <c r="K110" s="85"/>
      <c r="L110" s="844"/>
      <c r="M110" s="844"/>
      <c r="N110" s="1356"/>
    </row>
    <row r="111" spans="1:36" s="84" customFormat="1" x14ac:dyDescent="0.25">
      <c r="B111" s="88"/>
      <c r="C111" s="88"/>
      <c r="D111" s="88"/>
      <c r="E111" s="89"/>
      <c r="F111" s="145"/>
      <c r="G111" s="145"/>
      <c r="H111" s="89"/>
      <c r="I111" s="89"/>
      <c r="J111" s="1061"/>
      <c r="K111" s="85"/>
      <c r="L111" s="844"/>
      <c r="M111" s="844"/>
      <c r="N111" s="1356"/>
    </row>
    <row r="112" spans="1:36" s="84" customFormat="1" x14ac:dyDescent="0.25">
      <c r="B112" s="88"/>
      <c r="C112" s="88"/>
      <c r="D112" s="88"/>
      <c r="E112" s="89"/>
      <c r="F112" s="145"/>
      <c r="G112" s="145"/>
      <c r="H112" s="89"/>
      <c r="I112" s="89"/>
      <c r="J112" s="1061"/>
      <c r="K112" s="85"/>
      <c r="L112" s="844"/>
      <c r="M112" s="844"/>
      <c r="N112" s="1356"/>
    </row>
    <row r="113" spans="2:14" s="84" customFormat="1" x14ac:dyDescent="0.25">
      <c r="B113" s="88"/>
      <c r="C113" s="88"/>
      <c r="D113" s="88"/>
      <c r="E113" s="89"/>
      <c r="F113" s="145"/>
      <c r="G113" s="145"/>
      <c r="H113" s="89"/>
      <c r="I113" s="89"/>
      <c r="J113" s="1061"/>
      <c r="K113" s="85"/>
      <c r="L113" s="844"/>
      <c r="M113" s="844"/>
      <c r="N113" s="1356"/>
    </row>
    <row r="114" spans="2:14" s="84" customFormat="1" x14ac:dyDescent="0.25">
      <c r="B114" s="88"/>
      <c r="C114" s="88"/>
      <c r="D114" s="88"/>
      <c r="E114" s="89"/>
      <c r="F114" s="145"/>
      <c r="G114" s="145"/>
      <c r="H114" s="89"/>
      <c r="I114" s="89"/>
      <c r="J114" s="1061"/>
      <c r="K114" s="85"/>
      <c r="L114" s="844"/>
      <c r="M114" s="844"/>
      <c r="N114" s="1356"/>
    </row>
    <row r="115" spans="2:14" s="84" customFormat="1" x14ac:dyDescent="0.25">
      <c r="B115" s="88"/>
      <c r="C115" s="88"/>
      <c r="D115" s="88"/>
      <c r="E115" s="89"/>
      <c r="F115" s="145"/>
      <c r="G115" s="145"/>
      <c r="H115" s="89"/>
      <c r="I115" s="89"/>
      <c r="J115" s="1061"/>
      <c r="K115" s="85"/>
      <c r="L115" s="844"/>
      <c r="M115" s="844"/>
      <c r="N115" s="1356"/>
    </row>
    <row r="116" spans="2:14" s="84" customFormat="1" x14ac:dyDescent="0.25">
      <c r="B116" s="88"/>
      <c r="C116" s="88"/>
      <c r="D116" s="88"/>
      <c r="E116" s="89"/>
      <c r="F116" s="145"/>
      <c r="G116" s="145"/>
      <c r="H116" s="89"/>
      <c r="I116" s="89"/>
      <c r="J116" s="1061"/>
      <c r="K116" s="85"/>
      <c r="L116" s="844"/>
      <c r="M116" s="844"/>
      <c r="N116" s="1356"/>
    </row>
    <row r="117" spans="2:14" s="84" customFormat="1" x14ac:dyDescent="0.25">
      <c r="B117" s="88"/>
      <c r="C117" s="88"/>
      <c r="D117" s="88"/>
      <c r="E117" s="89"/>
      <c r="F117" s="145"/>
      <c r="G117" s="145"/>
      <c r="H117" s="89"/>
      <c r="I117" s="89"/>
      <c r="J117" s="1061"/>
      <c r="K117" s="85"/>
      <c r="L117" s="844"/>
      <c r="M117" s="844"/>
      <c r="N117" s="1356"/>
    </row>
    <row r="118" spans="2:14" s="84" customFormat="1" x14ac:dyDescent="0.25">
      <c r="B118" s="88"/>
      <c r="C118" s="88"/>
      <c r="D118" s="88"/>
      <c r="E118" s="89"/>
      <c r="F118" s="145"/>
      <c r="G118" s="145"/>
      <c r="H118" s="89"/>
      <c r="I118" s="89"/>
      <c r="J118" s="1061"/>
      <c r="K118" s="85"/>
      <c r="L118" s="844"/>
      <c r="M118" s="844"/>
      <c r="N118" s="1356"/>
    </row>
    <row r="119" spans="2:14" s="84" customFormat="1" x14ac:dyDescent="0.25">
      <c r="B119" s="88"/>
      <c r="C119" s="88"/>
      <c r="D119" s="88"/>
      <c r="E119" s="89"/>
      <c r="F119" s="145"/>
      <c r="G119" s="145"/>
      <c r="H119" s="89"/>
      <c r="I119" s="89"/>
      <c r="J119" s="1061"/>
      <c r="K119" s="85"/>
      <c r="L119" s="844"/>
      <c r="M119" s="844"/>
      <c r="N119" s="1356"/>
    </row>
    <row r="120" spans="2:14" s="84" customFormat="1" x14ac:dyDescent="0.25">
      <c r="B120" s="88"/>
      <c r="C120" s="88"/>
      <c r="D120" s="88"/>
      <c r="E120" s="89"/>
      <c r="F120" s="145"/>
      <c r="G120" s="145"/>
      <c r="H120" s="89"/>
      <c r="I120" s="89"/>
      <c r="J120" s="1061"/>
      <c r="K120" s="85"/>
      <c r="L120" s="844"/>
      <c r="M120" s="844"/>
      <c r="N120" s="1356"/>
    </row>
    <row r="121" spans="2:14" s="84" customFormat="1" x14ac:dyDescent="0.25">
      <c r="B121" s="88"/>
      <c r="C121" s="88"/>
      <c r="D121" s="88"/>
      <c r="E121" s="89"/>
      <c r="F121" s="145"/>
      <c r="G121" s="145"/>
      <c r="H121" s="89"/>
      <c r="I121" s="89"/>
      <c r="J121" s="1061"/>
      <c r="K121" s="85"/>
      <c r="L121" s="844"/>
      <c r="M121" s="844"/>
      <c r="N121" s="1356"/>
    </row>
    <row r="122" spans="2:14" s="84" customFormat="1" x14ac:dyDescent="0.25">
      <c r="B122" s="88"/>
      <c r="C122" s="88"/>
      <c r="D122" s="88"/>
      <c r="E122" s="89"/>
      <c r="F122" s="145"/>
      <c r="G122" s="145"/>
      <c r="H122" s="89"/>
      <c r="I122" s="89"/>
      <c r="J122" s="1061"/>
      <c r="K122" s="85"/>
      <c r="L122" s="844"/>
      <c r="M122" s="844"/>
      <c r="N122" s="1356"/>
    </row>
    <row r="123" spans="2:14" s="84" customFormat="1" x14ac:dyDescent="0.25">
      <c r="B123" s="88"/>
      <c r="C123" s="88"/>
      <c r="D123" s="88"/>
      <c r="E123" s="89"/>
      <c r="F123" s="145"/>
      <c r="G123" s="145"/>
      <c r="H123" s="89"/>
      <c r="I123" s="89"/>
      <c r="J123" s="1061"/>
      <c r="K123" s="85"/>
      <c r="L123" s="844"/>
      <c r="M123" s="844"/>
      <c r="N123" s="1356"/>
    </row>
    <row r="124" spans="2:14" s="84" customFormat="1" x14ac:dyDescent="0.25">
      <c r="B124" s="88"/>
      <c r="C124" s="88"/>
      <c r="D124" s="88"/>
      <c r="E124" s="89"/>
      <c r="F124" s="145"/>
      <c r="G124" s="145"/>
      <c r="H124" s="89"/>
      <c r="I124" s="89"/>
      <c r="J124" s="1061"/>
      <c r="K124" s="85"/>
      <c r="L124" s="844"/>
      <c r="M124" s="844"/>
      <c r="N124" s="1356"/>
    </row>
    <row r="125" spans="2:14" s="84" customFormat="1" x14ac:dyDescent="0.25">
      <c r="B125" s="88"/>
      <c r="C125" s="88"/>
      <c r="D125" s="88"/>
      <c r="E125" s="89"/>
      <c r="F125" s="145"/>
      <c r="G125" s="145"/>
      <c r="H125" s="89"/>
      <c r="I125" s="89"/>
      <c r="J125" s="1061"/>
      <c r="K125" s="85"/>
      <c r="L125" s="844"/>
      <c r="M125" s="844"/>
      <c r="N125" s="1356"/>
    </row>
    <row r="126" spans="2:14" s="84" customFormat="1" x14ac:dyDescent="0.25">
      <c r="B126" s="88"/>
      <c r="C126" s="88"/>
      <c r="D126" s="88"/>
      <c r="E126" s="89"/>
      <c r="F126" s="145"/>
      <c r="G126" s="145"/>
      <c r="H126" s="89"/>
      <c r="I126" s="89"/>
      <c r="J126" s="1061"/>
      <c r="K126" s="85"/>
      <c r="L126" s="844"/>
      <c r="M126" s="844"/>
      <c r="N126" s="1356"/>
    </row>
    <row r="127" spans="2:14" s="84" customFormat="1" x14ac:dyDescent="0.25">
      <c r="B127" s="88"/>
      <c r="C127" s="88"/>
      <c r="D127" s="88"/>
      <c r="E127" s="89"/>
      <c r="F127" s="145"/>
      <c r="G127" s="145"/>
      <c r="H127" s="89"/>
      <c r="I127" s="89"/>
      <c r="J127" s="1061"/>
      <c r="K127" s="85"/>
      <c r="L127" s="844"/>
      <c r="M127" s="844"/>
      <c r="N127" s="1356"/>
    </row>
    <row r="128" spans="2:14" s="84" customFormat="1" x14ac:dyDescent="0.25">
      <c r="B128" s="88"/>
      <c r="C128" s="88"/>
      <c r="D128" s="88"/>
      <c r="E128" s="89"/>
      <c r="F128" s="145"/>
      <c r="G128" s="145"/>
      <c r="H128" s="89"/>
      <c r="I128" s="89"/>
      <c r="J128" s="1061"/>
      <c r="K128" s="85"/>
      <c r="L128" s="844"/>
      <c r="M128" s="844"/>
      <c r="N128" s="1356"/>
    </row>
    <row r="129" spans="2:14" s="84" customFormat="1" x14ac:dyDescent="0.25">
      <c r="B129" s="88"/>
      <c r="C129" s="88"/>
      <c r="D129" s="88"/>
      <c r="E129" s="89"/>
      <c r="F129" s="145"/>
      <c r="G129" s="145"/>
      <c r="H129" s="89"/>
      <c r="I129" s="89"/>
      <c r="J129" s="1061"/>
      <c r="K129" s="85"/>
      <c r="L129" s="844"/>
      <c r="M129" s="844"/>
      <c r="N129" s="1356"/>
    </row>
    <row r="130" spans="2:14" s="84" customFormat="1" x14ac:dyDescent="0.25">
      <c r="B130" s="88"/>
      <c r="C130" s="88"/>
      <c r="D130" s="88"/>
      <c r="E130" s="89"/>
      <c r="F130" s="145"/>
      <c r="G130" s="145"/>
      <c r="H130" s="89"/>
      <c r="I130" s="89"/>
      <c r="J130" s="1061"/>
      <c r="K130" s="85"/>
      <c r="L130" s="844"/>
      <c r="M130" s="844"/>
      <c r="N130" s="1356"/>
    </row>
    <row r="131" spans="2:14" s="84" customFormat="1" x14ac:dyDescent="0.25">
      <c r="B131" s="88"/>
      <c r="C131" s="88"/>
      <c r="D131" s="88"/>
      <c r="E131" s="89"/>
      <c r="F131" s="145"/>
      <c r="G131" s="145"/>
      <c r="H131" s="89"/>
      <c r="I131" s="89"/>
      <c r="J131" s="1061"/>
      <c r="K131" s="85"/>
      <c r="L131" s="844"/>
      <c r="M131" s="844"/>
      <c r="N131" s="1356"/>
    </row>
    <row r="132" spans="2:14" s="84" customFormat="1" x14ac:dyDescent="0.25">
      <c r="B132" s="88"/>
      <c r="C132" s="88"/>
      <c r="D132" s="88"/>
      <c r="E132" s="89"/>
      <c r="F132" s="145"/>
      <c r="G132" s="145"/>
      <c r="H132" s="89"/>
      <c r="I132" s="89"/>
      <c r="J132" s="1061"/>
      <c r="K132" s="85"/>
      <c r="L132" s="844"/>
      <c r="M132" s="844"/>
      <c r="N132" s="1356"/>
    </row>
    <row r="133" spans="2:14" s="84" customFormat="1" x14ac:dyDescent="0.25">
      <c r="B133" s="88"/>
      <c r="C133" s="88"/>
      <c r="D133" s="88"/>
      <c r="E133" s="89"/>
      <c r="F133" s="145"/>
      <c r="G133" s="145"/>
      <c r="H133" s="89"/>
      <c r="I133" s="89"/>
      <c r="J133" s="1061"/>
      <c r="K133" s="85"/>
      <c r="L133" s="844"/>
      <c r="M133" s="844"/>
      <c r="N133" s="1356"/>
    </row>
    <row r="134" spans="2:14" s="84" customFormat="1" x14ac:dyDescent="0.25">
      <c r="B134" s="88"/>
      <c r="C134" s="88"/>
      <c r="D134" s="88"/>
      <c r="E134" s="89"/>
      <c r="F134" s="145"/>
      <c r="G134" s="145"/>
      <c r="H134" s="89"/>
      <c r="I134" s="89"/>
      <c r="J134" s="1061"/>
      <c r="K134" s="85"/>
      <c r="L134" s="844"/>
      <c r="M134" s="844"/>
      <c r="N134" s="1356"/>
    </row>
    <row r="135" spans="2:14" s="84" customFormat="1" x14ac:dyDescent="0.25">
      <c r="B135" s="88"/>
      <c r="C135" s="88"/>
      <c r="D135" s="88"/>
      <c r="E135" s="89"/>
      <c r="F135" s="145"/>
      <c r="G135" s="145"/>
      <c r="H135" s="89"/>
      <c r="I135" s="89"/>
      <c r="J135" s="1061"/>
      <c r="K135" s="85"/>
      <c r="L135" s="844"/>
      <c r="M135" s="844"/>
      <c r="N135" s="1356"/>
    </row>
    <row r="136" spans="2:14" s="84" customFormat="1" x14ac:dyDescent="0.25">
      <c r="B136" s="88"/>
      <c r="C136" s="88"/>
      <c r="D136" s="88"/>
      <c r="E136" s="89"/>
      <c r="F136" s="145"/>
      <c r="G136" s="145"/>
      <c r="H136" s="89"/>
      <c r="I136" s="89"/>
      <c r="J136" s="1061"/>
      <c r="K136" s="85"/>
      <c r="L136" s="844"/>
      <c r="M136" s="844"/>
      <c r="N136" s="1356"/>
    </row>
    <row r="137" spans="2:14" s="84" customFormat="1" x14ac:dyDescent="0.25">
      <c r="B137" s="88"/>
      <c r="C137" s="88"/>
      <c r="D137" s="88"/>
      <c r="E137" s="89"/>
      <c r="F137" s="145"/>
      <c r="G137" s="145"/>
      <c r="H137" s="89"/>
      <c r="I137" s="89"/>
      <c r="J137" s="1061"/>
      <c r="K137" s="85"/>
      <c r="L137" s="844"/>
      <c r="M137" s="844"/>
      <c r="N137" s="1356"/>
    </row>
    <row r="138" spans="2:14" s="84" customFormat="1" x14ac:dyDescent="0.25">
      <c r="B138" s="88"/>
      <c r="C138" s="88"/>
      <c r="D138" s="88"/>
      <c r="E138" s="89"/>
      <c r="F138" s="145"/>
      <c r="G138" s="145"/>
      <c r="H138" s="89"/>
      <c r="I138" s="89"/>
      <c r="J138" s="1061"/>
      <c r="K138" s="85"/>
      <c r="L138" s="844"/>
      <c r="M138" s="844"/>
      <c r="N138" s="1356"/>
    </row>
  </sheetData>
  <sheetProtection password="FB6B" sheet="1" formatCells="0" formatColumns="0" formatRows="0"/>
  <mergeCells count="120">
    <mergeCell ref="O56:O58"/>
    <mergeCell ref="L63:M65"/>
    <mergeCell ref="L67:M68"/>
    <mergeCell ref="L47:M47"/>
    <mergeCell ref="L50:M52"/>
    <mergeCell ref="L53:M53"/>
    <mergeCell ref="D96:I96"/>
    <mergeCell ref="A89:C89"/>
    <mergeCell ref="A86:C86"/>
    <mergeCell ref="A85:C85"/>
    <mergeCell ref="D93:I93"/>
    <mergeCell ref="A68:C68"/>
    <mergeCell ref="A74:C74"/>
    <mergeCell ref="A82:C82"/>
    <mergeCell ref="A76:C76"/>
    <mergeCell ref="A77:C77"/>
    <mergeCell ref="A78:C78"/>
    <mergeCell ref="L2:L7"/>
    <mergeCell ref="A1:K1"/>
    <mergeCell ref="A98:C98"/>
    <mergeCell ref="D98:I98"/>
    <mergeCell ref="A92:C92"/>
    <mergeCell ref="A94:C94"/>
    <mergeCell ref="D94:I94"/>
    <mergeCell ref="A75:C75"/>
    <mergeCell ref="A80:C80"/>
    <mergeCell ref="A81:C81"/>
    <mergeCell ref="A97:C97"/>
    <mergeCell ref="D97:I97"/>
    <mergeCell ref="A83:C83"/>
    <mergeCell ref="A96:C96"/>
    <mergeCell ref="A87:C87"/>
    <mergeCell ref="A90:C90"/>
    <mergeCell ref="A91:C91"/>
    <mergeCell ref="A95:C95"/>
    <mergeCell ref="D95:I95"/>
    <mergeCell ref="A88:C88"/>
    <mergeCell ref="A79:C79"/>
    <mergeCell ref="A54:C54"/>
    <mergeCell ref="A71:C71"/>
    <mergeCell ref="A72:C72"/>
    <mergeCell ref="A73:C73"/>
    <mergeCell ref="A61:C61"/>
    <mergeCell ref="A62:C62"/>
    <mergeCell ref="A63:C63"/>
    <mergeCell ref="A64:C64"/>
    <mergeCell ref="A66:C66"/>
    <mergeCell ref="A60:C60"/>
    <mergeCell ref="A47:C47"/>
    <mergeCell ref="A48:C48"/>
    <mergeCell ref="A49:C49"/>
    <mergeCell ref="A50:C50"/>
    <mergeCell ref="A51:C51"/>
    <mergeCell ref="A70:C70"/>
    <mergeCell ref="A55:C55"/>
    <mergeCell ref="A59:C59"/>
    <mergeCell ref="A58:C58"/>
    <mergeCell ref="A65:C65"/>
    <mergeCell ref="A46:C46"/>
    <mergeCell ref="A67:C67"/>
    <mergeCell ref="A56:C56"/>
    <mergeCell ref="A57:C57"/>
    <mergeCell ref="A69:C69"/>
    <mergeCell ref="A36:C36"/>
    <mergeCell ref="A53:C53"/>
    <mergeCell ref="A37:C37"/>
    <mergeCell ref="A40:C40"/>
    <mergeCell ref="A52:C52"/>
    <mergeCell ref="A39:C39"/>
    <mergeCell ref="A38:C38"/>
    <mergeCell ref="A8:C8"/>
    <mergeCell ref="A28:C28"/>
    <mergeCell ref="A45:C45"/>
    <mergeCell ref="A32:C32"/>
    <mergeCell ref="A41:C41"/>
    <mergeCell ref="A42:C42"/>
    <mergeCell ref="A43:C43"/>
    <mergeCell ref="A44:C44"/>
    <mergeCell ref="A29:C29"/>
    <mergeCell ref="A30:C30"/>
    <mergeCell ref="J3:K3"/>
    <mergeCell ref="A26:C26"/>
    <mergeCell ref="A4:K4"/>
    <mergeCell ref="A14:C14"/>
    <mergeCell ref="A15:C15"/>
    <mergeCell ref="A16:C16"/>
    <mergeCell ref="A25:C25"/>
    <mergeCell ref="A9:C9"/>
    <mergeCell ref="A19:C19"/>
    <mergeCell ref="A20:C20"/>
    <mergeCell ref="A17:C17"/>
    <mergeCell ref="A18:C18"/>
    <mergeCell ref="A2:C2"/>
    <mergeCell ref="A7:C7"/>
    <mergeCell ref="L30:O30"/>
    <mergeCell ref="A10:C10"/>
    <mergeCell ref="A11:C11"/>
    <mergeCell ref="A12:C12"/>
    <mergeCell ref="A13:C13"/>
    <mergeCell ref="J2:K2"/>
    <mergeCell ref="T56:T58"/>
    <mergeCell ref="U56:U58"/>
    <mergeCell ref="A21:C21"/>
    <mergeCell ref="A22:C22"/>
    <mergeCell ref="A23:C23"/>
    <mergeCell ref="A24:C24"/>
    <mergeCell ref="A27:C27"/>
    <mergeCell ref="A33:C33"/>
    <mergeCell ref="A34:C34"/>
    <mergeCell ref="A35:C35"/>
    <mergeCell ref="A31:C31"/>
    <mergeCell ref="A84:C84"/>
    <mergeCell ref="V56:V58"/>
    <mergeCell ref="W56:W58"/>
    <mergeCell ref="X56:X58"/>
    <mergeCell ref="N56:N59"/>
    <mergeCell ref="P56:P58"/>
    <mergeCell ref="Q56:Q58"/>
    <mergeCell ref="R56:R58"/>
    <mergeCell ref="S56:S58"/>
  </mergeCells>
  <conditionalFormatting sqref="L88:M88">
    <cfRule type="cellIs" dxfId="213" priority="50" operator="lessThan">
      <formula>0</formula>
    </cfRule>
  </conditionalFormatting>
  <conditionalFormatting sqref="E68">
    <cfRule type="cellIs" dxfId="212" priority="20" operator="lessThan">
      <formula>0</formula>
    </cfRule>
  </conditionalFormatting>
  <conditionalFormatting sqref="F68:G68">
    <cfRule type="cellIs" dxfId="211" priority="19" operator="lessThan">
      <formula>0</formula>
    </cfRule>
  </conditionalFormatting>
  <conditionalFormatting sqref="I68:J68">
    <cfRule type="cellIs" dxfId="210" priority="18" operator="lessThan">
      <formula>0</formula>
    </cfRule>
  </conditionalFormatting>
  <conditionalFormatting sqref="E88:G88 I88:J88">
    <cfRule type="cellIs" dxfId="209" priority="17" operator="lessThan">
      <formula>0</formula>
    </cfRule>
  </conditionalFormatting>
  <conditionalFormatting sqref="E54:G54 I54:J54">
    <cfRule type="cellIs" dxfId="208" priority="16" operator="lessThan">
      <formula>0</formula>
    </cfRule>
  </conditionalFormatting>
  <conditionalFormatting sqref="L62">
    <cfRule type="containsText" dxfId="207" priority="10" stopIfTrue="1" operator="containsText" text="ПОМИЛКА">
      <formula>NOT(ISERROR(SEARCH("ПОМИЛКА",L62)))</formula>
    </cfRule>
    <cfRule type="containsText" dxfId="206" priority="11" stopIfTrue="1" operator="containsText" text="Увага">
      <formula>NOT(ISERROR(SEARCH("Увага",L62)))</formula>
    </cfRule>
    <cfRule type="containsText" dxfId="205" priority="12" stopIfTrue="1" operator="containsText" text="ПРАВДА">
      <formula>NOT(ISERROR(SEARCH("ПРАВДА",L62)))</formula>
    </cfRule>
  </conditionalFormatting>
  <conditionalFormatting sqref="M62">
    <cfRule type="containsText" dxfId="204" priority="7" stopIfTrue="1" operator="containsText" text="ПОМИЛКА">
      <formula>NOT(ISERROR(SEARCH("ПОМИЛКА",M62)))</formula>
    </cfRule>
    <cfRule type="containsText" dxfId="203" priority="8" stopIfTrue="1" operator="containsText" text="Увага">
      <formula>NOT(ISERROR(SEARCH("Увага",M62)))</formula>
    </cfRule>
    <cfRule type="containsText" dxfId="202" priority="9" stopIfTrue="1" operator="containsText" text="ПРАВДА">
      <formula>NOT(ISERROR(SEARCH("ПРАВДА",M62)))</formula>
    </cfRule>
  </conditionalFormatting>
  <conditionalFormatting sqref="L66">
    <cfRule type="containsText" dxfId="201" priority="4" stopIfTrue="1" operator="containsText" text="ПОМИЛКА">
      <formula>NOT(ISERROR(SEARCH("ПОМИЛКА",L66)))</formula>
    </cfRule>
    <cfRule type="containsText" dxfId="200" priority="5" stopIfTrue="1" operator="containsText" text="Увага">
      <formula>NOT(ISERROR(SEARCH("Увага",L66)))</formula>
    </cfRule>
    <cfRule type="containsText" dxfId="199" priority="6" stopIfTrue="1" operator="containsText" text="ПРАВДА">
      <formula>NOT(ISERROR(SEARCH("ПРАВДА",L66)))</formula>
    </cfRule>
  </conditionalFormatting>
  <conditionalFormatting sqref="L69">
    <cfRule type="containsText" dxfId="198" priority="1" stopIfTrue="1" operator="containsText" text="ПОМИЛКА">
      <formula>NOT(ISERROR(SEARCH("ПОМИЛКА",L69)))</formula>
    </cfRule>
    <cfRule type="containsText" dxfId="197" priority="2" stopIfTrue="1" operator="containsText" text="Увага">
      <formula>NOT(ISERROR(SEARCH("Увага",L69)))</formula>
    </cfRule>
    <cfRule type="containsText" dxfId="196" priority="3" stopIfTrue="1" operator="containsText" text="ПРАВДА">
      <formula>NOT(ISERROR(SEARCH("ПРАВДА",L69)))</formula>
    </cfRule>
  </conditionalFormatting>
  <dataValidations count="2">
    <dataValidation type="decimal" showInputMessage="1" showErrorMessage="1" error="Внесіть, будь ласка, число." sqref="E73:G92 I73:J92 E71:G71 I50:J56 Q30:V31 N50 Q83:V84 M49 E61:G69 E27:G45 I27:J45 I71:J71 I61:J69 I18:J18 I20:J25 I58:J59 E50:G56 E58:G59 E20:G25 E18:G18">
      <formula1>-1000000000000</formula1>
      <formula2>1000000000000</formula2>
    </dataValidation>
    <dataValidation type="decimal" operator="lessThanOrEqual" allowBlank="1" showInputMessage="1" showErrorMessage="1" sqref="E57:K57">
      <formula1>0</formula1>
    </dataValidation>
  </dataValidations>
  <printOptions horizontalCentered="1"/>
  <pageMargins left="0.19685039370078741" right="0.27559055118110237" top="0.59055118110236227" bottom="0.35433070866141736" header="0.39370078740157483" footer="0.31496062992125984"/>
  <pageSetup paperSize="9" scale="46" orientation="landscape" r:id="rId1"/>
  <headerFooter alignWithMargins="0">
    <oddFooter>&amp;RСтор.  &amp;P</oddFooter>
  </headerFooter>
  <rowBreaks count="2" manualBreakCount="2">
    <brk id="46"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tabColor rgb="FFFFFF00"/>
  </sheetPr>
  <dimension ref="A1:BQ123"/>
  <sheetViews>
    <sheetView showGridLines="0" topLeftCell="U7" zoomScale="40" zoomScaleNormal="40" zoomScalePageLayoutView="50" workbookViewId="0">
      <selection activeCell="AF26" sqref="AF26"/>
    </sheetView>
  </sheetViews>
  <sheetFormatPr defaultRowHeight="18.75" x14ac:dyDescent="0.25"/>
  <cols>
    <col min="1" max="1" width="13.85546875" style="2" customWidth="1"/>
    <col min="2" max="2" width="19.7109375" style="2" customWidth="1"/>
    <col min="3" max="3" width="6.5703125" style="64" customWidth="1"/>
    <col min="4" max="4" width="20.5703125" style="64" customWidth="1"/>
    <col min="5" max="5" width="35.28515625" style="64" customWidth="1"/>
    <col min="6" max="6" width="22.85546875" style="4" customWidth="1"/>
    <col min="7" max="7" width="20.85546875" style="4" customWidth="1"/>
    <col min="8" max="8" width="18.85546875" style="4" customWidth="1"/>
    <col min="9" max="9" width="20" style="4" customWidth="1"/>
    <col min="10" max="10" width="25" style="4" customWidth="1"/>
    <col min="11" max="11" width="35.7109375" style="4" customWidth="1"/>
    <col min="12" max="12" width="32.5703125" style="4" customWidth="1"/>
    <col min="13" max="13" width="30" style="4" customWidth="1"/>
    <col min="14" max="14" width="22" style="146" customWidth="1"/>
    <col min="15" max="15" width="40" style="4" customWidth="1"/>
    <col min="16" max="16" width="34.28515625" style="4" customWidth="1"/>
    <col min="17" max="17" width="27.7109375" style="4" customWidth="1"/>
    <col min="18" max="18" width="23.7109375" style="52" customWidth="1"/>
    <col min="19" max="19" width="28.85546875" style="52" customWidth="1"/>
    <col min="20" max="20" width="22.7109375" style="52" customWidth="1"/>
    <col min="21" max="21" width="14.85546875" style="52" customWidth="1"/>
    <col min="22" max="22" width="23.140625" style="52" customWidth="1"/>
    <col min="23" max="23" width="14.42578125" style="52" customWidth="1"/>
    <col min="24" max="24" width="21" style="52" customWidth="1"/>
    <col min="25" max="25" width="24.85546875" style="52" customWidth="1"/>
    <col min="26" max="26" width="26.28515625" style="52" customWidth="1"/>
    <col min="27" max="27" width="18.5703125" style="52" customWidth="1"/>
    <col min="28" max="28" width="27.7109375" style="84" customWidth="1"/>
    <col min="29" max="29" width="24.85546875" style="84" customWidth="1"/>
    <col min="30" max="30" width="25.85546875" style="84" customWidth="1"/>
    <col min="31" max="31" width="24" style="84" customWidth="1"/>
    <col min="32" max="32" width="26.28515625" style="84" customWidth="1"/>
    <col min="33" max="33" width="38.140625" style="84" customWidth="1"/>
    <col min="34" max="34" width="41.5703125" style="84" customWidth="1"/>
    <col min="35" max="35" width="35.5703125" style="84" customWidth="1"/>
    <col min="36" max="36" width="43.7109375" style="84" customWidth="1"/>
    <col min="37" max="37" width="39" style="84" customWidth="1"/>
    <col min="38" max="38" width="34.28515625" style="84" customWidth="1"/>
    <col min="39" max="39" width="33.140625" style="84" customWidth="1"/>
    <col min="40" max="40" width="39.5703125" style="84" customWidth="1"/>
    <col min="41" max="42" width="26.7109375" style="84" customWidth="1"/>
    <col min="43" max="57" width="8.7109375" style="84" customWidth="1"/>
    <col min="58" max="254" width="8.7109375" style="2" customWidth="1"/>
    <col min="255" max="255" width="78.5703125" style="2" customWidth="1"/>
    <col min="256" max="16384" width="9.140625" style="2"/>
  </cols>
  <sheetData>
    <row r="1" spans="1:60" ht="27" customHeight="1" x14ac:dyDescent="0.3">
      <c r="B1" s="2449" t="s">
        <v>0</v>
      </c>
      <c r="C1" s="2449"/>
      <c r="D1" s="2449"/>
      <c r="E1" s="79">
        <f>'Звіт 1,2,3'!D1</f>
        <v>2006707</v>
      </c>
      <c r="F1" s="65" t="s">
        <v>1</v>
      </c>
      <c r="G1" s="79">
        <f>'Звіт 1,2,3'!H1</f>
        <v>430</v>
      </c>
      <c r="H1" s="64"/>
      <c r="I1" s="1"/>
      <c r="J1" s="1"/>
      <c r="K1" s="1"/>
      <c r="L1" s="1"/>
      <c r="M1" s="1"/>
      <c r="N1" s="10"/>
      <c r="O1" s="1"/>
      <c r="P1" s="1"/>
      <c r="R1" s="2830" t="s">
        <v>3</v>
      </c>
      <c r="S1" s="2830"/>
      <c r="T1" s="2830"/>
      <c r="U1" s="334"/>
      <c r="V1" s="152"/>
      <c r="W1" s="152"/>
      <c r="X1" s="152"/>
      <c r="Y1" s="152"/>
      <c r="Z1" s="192"/>
      <c r="AA1" s="192"/>
      <c r="AD1" s="85"/>
      <c r="AE1" s="85"/>
      <c r="AF1" s="85"/>
      <c r="AG1" s="85"/>
    </row>
    <row r="2" spans="1:60" ht="22.35" customHeight="1" x14ac:dyDescent="0.3">
      <c r="B2" s="23"/>
      <c r="C2" s="1"/>
      <c r="D2" s="2"/>
      <c r="F2" s="64"/>
      <c r="G2" s="64"/>
      <c r="H2" s="64"/>
      <c r="I2" s="64"/>
      <c r="J2" s="64"/>
      <c r="K2" s="64"/>
      <c r="L2" s="64"/>
      <c r="M2" s="64"/>
      <c r="N2" s="72"/>
      <c r="O2" s="64"/>
      <c r="P2" s="64"/>
      <c r="Q2" s="64"/>
      <c r="R2" s="2831" t="s">
        <v>298</v>
      </c>
      <c r="S2" s="2831"/>
      <c r="T2" s="2831"/>
      <c r="U2" s="72"/>
      <c r="V2" s="153"/>
      <c r="W2" s="153"/>
      <c r="X2" s="153"/>
      <c r="Y2" s="153"/>
      <c r="Z2" s="192"/>
      <c r="AA2" s="192"/>
      <c r="AD2" s="85"/>
      <c r="AE2" s="85"/>
      <c r="AF2" s="85"/>
      <c r="AG2" s="85"/>
    </row>
    <row r="3" spans="1:60" ht="32.65" customHeight="1" x14ac:dyDescent="0.25">
      <c r="B3" s="2239" t="str">
        <f>'Звіт 1,2,3'!A3</f>
        <v>ЗВІТ ПРО ДОХОДИ ТА ВИТРАТИ за 1 квартал  2021 року</v>
      </c>
      <c r="C3" s="2239"/>
      <c r="D3" s="2239"/>
      <c r="E3" s="2239"/>
      <c r="F3" s="2239"/>
      <c r="G3" s="2239"/>
      <c r="H3" s="2239"/>
      <c r="I3" s="2239"/>
      <c r="J3" s="2239"/>
      <c r="K3" s="2239"/>
      <c r="L3" s="2239"/>
      <c r="M3" s="2239"/>
      <c r="N3" s="2239"/>
      <c r="O3" s="2239"/>
      <c r="P3" s="2239"/>
      <c r="Q3" s="2239"/>
      <c r="R3" s="2239"/>
      <c r="S3" s="2239"/>
      <c r="T3" s="2239"/>
      <c r="U3" s="333"/>
      <c r="V3" s="18"/>
      <c r="W3" s="18"/>
      <c r="X3" s="18"/>
      <c r="Y3" s="18"/>
      <c r="Z3" s="18"/>
      <c r="AA3" s="18"/>
      <c r="AB3" s="86"/>
      <c r="AC3" s="86"/>
      <c r="AD3" s="85"/>
      <c r="AE3" s="85"/>
      <c r="AG3" s="85"/>
    </row>
    <row r="4" spans="1:60" ht="32.65" customHeight="1" x14ac:dyDescent="0.25">
      <c r="A4" s="234"/>
      <c r="B4" s="177" t="s">
        <v>494</v>
      </c>
      <c r="C4" s="177"/>
      <c r="D4" s="177"/>
      <c r="E4" s="177"/>
      <c r="F4" s="177"/>
      <c r="G4" s="177"/>
      <c r="H4" s="606"/>
      <c r="I4" s="177"/>
      <c r="J4" s="606"/>
      <c r="K4" s="177"/>
      <c r="L4" s="177"/>
      <c r="M4" s="177"/>
      <c r="N4" s="177"/>
      <c r="O4" s="177"/>
      <c r="P4" s="177"/>
      <c r="Q4" s="177"/>
      <c r="R4" s="177"/>
      <c r="S4" s="333"/>
      <c r="T4" s="177"/>
      <c r="U4" s="333"/>
      <c r="V4" s="18"/>
      <c r="W4" s="18"/>
      <c r="X4" s="18"/>
      <c r="Y4" s="18"/>
      <c r="Z4" s="18"/>
      <c r="AA4" s="18"/>
      <c r="AB4" s="86"/>
      <c r="AC4" s="86"/>
      <c r="AD4" s="85"/>
      <c r="AE4" s="85"/>
      <c r="AF4" s="85"/>
      <c r="AG4" s="85"/>
    </row>
    <row r="5" spans="1:60" ht="27.6" customHeight="1" x14ac:dyDescent="0.25">
      <c r="A5" s="2708" t="s">
        <v>526</v>
      </c>
      <c r="B5" s="2708"/>
      <c r="C5" s="2708"/>
      <c r="D5" s="2708"/>
      <c r="E5" s="2708"/>
      <c r="F5" s="2708"/>
      <c r="G5" s="2708"/>
      <c r="H5" s="2708"/>
      <c r="I5" s="2708"/>
      <c r="J5" s="2708"/>
      <c r="K5" s="2708"/>
      <c r="L5" s="2708"/>
      <c r="M5" s="2708"/>
      <c r="N5" s="72"/>
      <c r="O5" s="64"/>
      <c r="P5" s="64"/>
      <c r="Q5" s="64"/>
      <c r="R5" s="52">
        <f>ROUND((('Звіт 10, 11,12,13,14'!R12+'Звіт 10, 11,12,13,14'!R15+'Звіт 10, 11,12,13,14'!R21+'Звіт 10, 11,12,13,14'!R24)/1000),1)</f>
        <v>118</v>
      </c>
      <c r="AF5" s="232" t="s">
        <v>262</v>
      </c>
    </row>
    <row r="6" spans="1:60" ht="20.65" customHeight="1" thickBot="1" x14ac:dyDescent="0.3">
      <c r="B6" s="15"/>
      <c r="C6" s="7"/>
      <c r="D6" s="7"/>
      <c r="E6" s="7"/>
      <c r="F6" s="335"/>
      <c r="G6" s="335"/>
      <c r="H6" s="335"/>
      <c r="I6" s="335"/>
      <c r="J6" s="335"/>
      <c r="K6" s="335"/>
      <c r="L6" s="1567">
        <f>(L10+L17+L19+L26)/1000</f>
        <v>1582.412</v>
      </c>
      <c r="M6" s="335"/>
      <c r="N6" s="335"/>
      <c r="O6" s="335"/>
      <c r="P6" s="335"/>
      <c r="Q6" s="335"/>
      <c r="R6" s="335"/>
      <c r="S6" s="335"/>
      <c r="T6" s="335"/>
      <c r="U6" s="335"/>
      <c r="V6" s="335"/>
      <c r="W6" s="335"/>
      <c r="X6" s="335"/>
      <c r="Y6" s="335"/>
      <c r="Z6" s="335"/>
      <c r="AA6" s="335"/>
      <c r="AB6" s="335"/>
      <c r="AC6" s="335"/>
      <c r="AD6" s="335"/>
      <c r="AE6" s="335"/>
      <c r="AF6" s="1567">
        <f>(AF10+AF17+AF19+AF26-X21)/1000</f>
        <v>1047.066</v>
      </c>
      <c r="AG6" s="88"/>
    </row>
    <row r="7" spans="1:60" s="9" customFormat="1" ht="67.150000000000006" customHeight="1" x14ac:dyDescent="0.25">
      <c r="A7" s="2565" t="s">
        <v>38</v>
      </c>
      <c r="B7" s="2559" t="s">
        <v>488</v>
      </c>
      <c r="C7" s="2559"/>
      <c r="D7" s="2559"/>
      <c r="E7" s="2769" t="s">
        <v>447</v>
      </c>
      <c r="F7" s="2778" t="s">
        <v>487</v>
      </c>
      <c r="G7" s="2768"/>
      <c r="H7" s="2768"/>
      <c r="I7" s="2768"/>
      <c r="J7" s="2768"/>
      <c r="K7" s="2768"/>
      <c r="L7" s="2769"/>
      <c r="M7" s="2778" t="s">
        <v>445</v>
      </c>
      <c r="N7" s="2768"/>
      <c r="O7" s="2768"/>
      <c r="P7" s="2768"/>
      <c r="Q7" s="2769"/>
      <c r="R7" s="2835" t="s">
        <v>446</v>
      </c>
      <c r="S7" s="2836"/>
      <c r="T7" s="2836"/>
      <c r="U7" s="2836"/>
      <c r="V7" s="2836"/>
      <c r="W7" s="2836"/>
      <c r="X7" s="2836"/>
      <c r="Y7" s="2836"/>
      <c r="Z7" s="2836"/>
      <c r="AA7" s="2837"/>
      <c r="AB7" s="2813" t="s">
        <v>870</v>
      </c>
      <c r="AC7" s="2577"/>
      <c r="AD7" s="2577"/>
      <c r="AE7" s="2577"/>
      <c r="AF7" s="2814"/>
      <c r="AG7" s="1062" t="s">
        <v>723</v>
      </c>
      <c r="AH7" s="1063" t="s">
        <v>724</v>
      </c>
      <c r="AI7" s="1063" t="s">
        <v>725</v>
      </c>
      <c r="AJ7" s="1078" t="s">
        <v>726</v>
      </c>
      <c r="AK7" s="1086" t="s">
        <v>595</v>
      </c>
      <c r="AL7" s="1087" t="s">
        <v>596</v>
      </c>
      <c r="AM7" s="1088" t="s">
        <v>593</v>
      </c>
      <c r="AN7" s="1089" t="s">
        <v>594</v>
      </c>
      <c r="AO7" s="183"/>
      <c r="AP7" s="183"/>
      <c r="AQ7" s="183"/>
      <c r="AR7" s="183"/>
      <c r="AS7" s="183"/>
      <c r="AT7" s="183"/>
      <c r="AU7" s="183"/>
      <c r="AV7" s="183"/>
      <c r="AW7" s="183"/>
      <c r="AX7" s="81"/>
      <c r="AY7" s="81"/>
      <c r="AZ7" s="81"/>
      <c r="BA7" s="81"/>
      <c r="BB7" s="81"/>
      <c r="BC7" s="81"/>
      <c r="BD7" s="81"/>
      <c r="BE7" s="81"/>
      <c r="BF7" s="81"/>
      <c r="BG7" s="81"/>
      <c r="BH7" s="81"/>
    </row>
    <row r="8" spans="1:60" s="9" customFormat="1" ht="54.6" customHeight="1" thickBot="1" x14ac:dyDescent="0.3">
      <c r="A8" s="2820"/>
      <c r="B8" s="2823"/>
      <c r="C8" s="2823"/>
      <c r="D8" s="2823"/>
      <c r="E8" s="2822"/>
      <c r="F8" s="1093" t="s">
        <v>273</v>
      </c>
      <c r="G8" s="2824" t="s">
        <v>489</v>
      </c>
      <c r="H8" s="2825"/>
      <c r="I8" s="2824" t="s">
        <v>444</v>
      </c>
      <c r="J8" s="2825"/>
      <c r="K8" s="1094" t="s">
        <v>618</v>
      </c>
      <c r="L8" s="1095" t="s">
        <v>590</v>
      </c>
      <c r="M8" s="1093" t="s">
        <v>261</v>
      </c>
      <c r="N8" s="1094" t="str">
        <f>G8</f>
        <v>Безоплатно отримані</v>
      </c>
      <c r="O8" s="1094" t="str">
        <f>I8</f>
        <v>Отримані як цільове фінансування</v>
      </c>
      <c r="P8" s="1094" t="str">
        <f>K8</f>
        <v>Отримано як статутний капітал</v>
      </c>
      <c r="Q8" s="1095" t="str">
        <f>L8</f>
        <v>Інше (ПМГ та власні кошти)</v>
      </c>
      <c r="R8" s="2826" t="s">
        <v>261</v>
      </c>
      <c r="S8" s="2827"/>
      <c r="T8" s="2806" t="str">
        <f>N8</f>
        <v>Безоплатно отримані</v>
      </c>
      <c r="U8" s="2811"/>
      <c r="V8" s="2806" t="str">
        <f>O8</f>
        <v>Отримані як цільове фінансування</v>
      </c>
      <c r="W8" s="2811"/>
      <c r="X8" s="2806" t="str">
        <f>P8</f>
        <v>Отримано як статутний капітал</v>
      </c>
      <c r="Y8" s="2811"/>
      <c r="Z8" s="2806" t="str">
        <f>Q8</f>
        <v>Інше (ПМГ та власні кошти)</v>
      </c>
      <c r="AA8" s="2807"/>
      <c r="AB8" s="1340" t="s">
        <v>261</v>
      </c>
      <c r="AC8" s="942" t="str">
        <f>T8</f>
        <v>Безоплатно отримані</v>
      </c>
      <c r="AD8" s="942" t="str">
        <f>V8</f>
        <v>Отримані як цільове фінансування</v>
      </c>
      <c r="AE8" s="942" t="str">
        <f>X8</f>
        <v>Отримано як статутний капітал</v>
      </c>
      <c r="AF8" s="943" t="str">
        <f>Z8</f>
        <v>Інше (ПМГ та власні кошти)</v>
      </c>
      <c r="AG8" s="2808" t="s">
        <v>1597</v>
      </c>
      <c r="AH8" s="2809"/>
      <c r="AI8" s="2809"/>
      <c r="AJ8" s="2810"/>
      <c r="AK8" s="2773" t="s">
        <v>1238</v>
      </c>
      <c r="AL8" s="2774"/>
      <c r="AM8" s="2774"/>
      <c r="AN8" s="2775"/>
      <c r="AO8" s="183"/>
      <c r="AP8" s="183"/>
      <c r="AQ8" s="183"/>
      <c r="AR8" s="183"/>
      <c r="AS8" s="183"/>
      <c r="AT8" s="183"/>
      <c r="AU8" s="183"/>
      <c r="AV8" s="183"/>
      <c r="AW8" s="183"/>
      <c r="AX8" s="81"/>
      <c r="AY8" s="81"/>
      <c r="AZ8" s="81"/>
      <c r="BA8" s="81"/>
      <c r="BB8" s="81"/>
      <c r="BC8" s="81"/>
      <c r="BD8" s="81"/>
      <c r="BE8" s="81"/>
      <c r="BF8" s="81"/>
      <c r="BG8" s="81"/>
    </row>
    <row r="9" spans="1:60" s="9" customFormat="1" ht="23.25" customHeight="1" thickBot="1" x14ac:dyDescent="0.35">
      <c r="A9" s="1096">
        <v>1</v>
      </c>
      <c r="B9" s="2812">
        <v>2</v>
      </c>
      <c r="C9" s="2812"/>
      <c r="D9" s="2812"/>
      <c r="E9" s="1066">
        <v>3</v>
      </c>
      <c r="F9" s="1096">
        <v>4</v>
      </c>
      <c r="G9" s="2828">
        <v>5</v>
      </c>
      <c r="H9" s="2829"/>
      <c r="I9" s="2828">
        <v>6</v>
      </c>
      <c r="J9" s="2829"/>
      <c r="K9" s="1065">
        <v>7</v>
      </c>
      <c r="L9" s="1066">
        <v>8</v>
      </c>
      <c r="M9" s="1096">
        <v>9</v>
      </c>
      <c r="N9" s="1065">
        <v>10</v>
      </c>
      <c r="O9" s="1065">
        <v>11</v>
      </c>
      <c r="P9" s="1065">
        <v>12</v>
      </c>
      <c r="Q9" s="1079">
        <v>13</v>
      </c>
      <c r="R9" s="2821">
        <v>14</v>
      </c>
      <c r="S9" s="2812"/>
      <c r="T9" s="2812">
        <v>15</v>
      </c>
      <c r="U9" s="2812"/>
      <c r="V9" s="2812">
        <v>16</v>
      </c>
      <c r="W9" s="2812"/>
      <c r="X9" s="2812">
        <v>17</v>
      </c>
      <c r="Y9" s="2812"/>
      <c r="Z9" s="2812">
        <v>18</v>
      </c>
      <c r="AA9" s="2815"/>
      <c r="AB9" s="1097">
        <v>19</v>
      </c>
      <c r="AC9" s="1068">
        <v>20</v>
      </c>
      <c r="AD9" s="1068">
        <v>21</v>
      </c>
      <c r="AE9" s="1068">
        <v>22</v>
      </c>
      <c r="AF9" s="1069">
        <v>23</v>
      </c>
      <c r="AG9" s="1064">
        <v>24</v>
      </c>
      <c r="AH9" s="1065">
        <v>25</v>
      </c>
      <c r="AI9" s="1065">
        <v>26</v>
      </c>
      <c r="AJ9" s="1079">
        <v>27</v>
      </c>
      <c r="AK9" s="1067">
        <v>28</v>
      </c>
      <c r="AL9" s="1068">
        <v>29</v>
      </c>
      <c r="AM9" s="1068">
        <v>30</v>
      </c>
      <c r="AN9" s="1069">
        <v>31</v>
      </c>
      <c r="AO9" s="183"/>
      <c r="AP9" s="183"/>
      <c r="AQ9" s="183"/>
      <c r="AR9" s="183"/>
      <c r="AS9" s="183"/>
      <c r="AT9" s="183"/>
      <c r="AU9" s="183"/>
      <c r="AV9" s="183"/>
      <c r="AW9" s="183"/>
      <c r="AX9" s="81"/>
      <c r="AY9" s="81"/>
      <c r="AZ9" s="81"/>
      <c r="BA9" s="81"/>
      <c r="BB9" s="81"/>
      <c r="BC9" s="81"/>
      <c r="BD9" s="81"/>
      <c r="BE9" s="81"/>
      <c r="BF9" s="81"/>
      <c r="BG9" s="81"/>
    </row>
    <row r="10" spans="1:60" s="9" customFormat="1" ht="33.75" customHeight="1" x14ac:dyDescent="0.3">
      <c r="A10" s="1098" t="s">
        <v>455</v>
      </c>
      <c r="B10" s="2832" t="s">
        <v>474</v>
      </c>
      <c r="C10" s="2832"/>
      <c r="D10" s="2832"/>
      <c r="E10" s="1099">
        <v>1000</v>
      </c>
      <c r="F10" s="1100">
        <f t="shared" ref="F10:F15" si="0">G10+I10+L10+K10</f>
        <v>0</v>
      </c>
      <c r="G10" s="2643">
        <f>G11-G12+G13</f>
        <v>0</v>
      </c>
      <c r="H10" s="2644"/>
      <c r="I10" s="2643">
        <f>I11-I12+I13</f>
        <v>0</v>
      </c>
      <c r="J10" s="2644"/>
      <c r="K10" s="1101">
        <f>K11-K12+K13</f>
        <v>0</v>
      </c>
      <c r="L10" s="1102">
        <f>L11-L12+L13</f>
        <v>0</v>
      </c>
      <c r="M10" s="1103" t="s">
        <v>296</v>
      </c>
      <c r="N10" s="1104" t="s">
        <v>296</v>
      </c>
      <c r="O10" s="1104" t="s">
        <v>296</v>
      </c>
      <c r="P10" s="1104" t="s">
        <v>296</v>
      </c>
      <c r="Q10" s="1105" t="s">
        <v>296</v>
      </c>
      <c r="R10" s="2816" t="s">
        <v>296</v>
      </c>
      <c r="S10" s="2790"/>
      <c r="T10" s="2790" t="s">
        <v>296</v>
      </c>
      <c r="U10" s="2790"/>
      <c r="V10" s="2790" t="s">
        <v>296</v>
      </c>
      <c r="W10" s="2790"/>
      <c r="X10" s="2790" t="s">
        <v>296</v>
      </c>
      <c r="Y10" s="2790"/>
      <c r="Z10" s="2790" t="s">
        <v>296</v>
      </c>
      <c r="AA10" s="2791"/>
      <c r="AB10" s="1106">
        <f t="shared" ref="AB10:AB15" si="1">AC10+AD10+AF10+AE10</f>
        <v>0</v>
      </c>
      <c r="AC10" s="1107">
        <f>AC11-AC12+AC13</f>
        <v>0</v>
      </c>
      <c r="AD10" s="1107">
        <f>AD11-AD12+AD13</f>
        <v>0</v>
      </c>
      <c r="AE10" s="1107">
        <f>AE11-AE12+AE13</f>
        <v>0</v>
      </c>
      <c r="AF10" s="1108">
        <f>AF11-AF12+AF13</f>
        <v>0</v>
      </c>
      <c r="AG10" s="2804" t="s">
        <v>836</v>
      </c>
      <c r="AH10" s="2803" t="s">
        <v>549</v>
      </c>
      <c r="AI10" s="2803" t="s">
        <v>597</v>
      </c>
      <c r="AJ10" s="2856" t="s">
        <v>1598</v>
      </c>
      <c r="AK10" s="1091" t="s">
        <v>598</v>
      </c>
      <c r="AL10" s="1070" t="s">
        <v>599</v>
      </c>
      <c r="AM10" s="946" t="str">
        <f>IF('Звіт   4,5,6'!E39=0,"Дані не введено",IF(AND((ROUND(F10/1000,1)-AK13)&lt;=1,((ROUND(F10/1000,1)-AK13)&gt;=-1)),"ПРАВДА","ПОМИЛКА"))</f>
        <v>ПРАВДА</v>
      </c>
      <c r="AN10" s="1092" t="str">
        <f>IF('Звіт   4,5,6'!E39=0,"Дані не введено",IF(AND((ROUND(AB10/1000,1)-AL13)&lt;=1,((ROUND(AB10/1000,1)-AL13)&gt;=-1)),"ПРАВДА","ПОМИЛКА"))</f>
        <v>ПРАВДА</v>
      </c>
      <c r="AO10" s="183"/>
      <c r="AP10" s="183"/>
      <c r="AQ10" s="183"/>
      <c r="AR10" s="183"/>
      <c r="AS10" s="183"/>
      <c r="AT10" s="183"/>
      <c r="AU10" s="183"/>
      <c r="AV10" s="183"/>
      <c r="AW10" s="183"/>
      <c r="AX10" s="81"/>
      <c r="AY10" s="81"/>
      <c r="AZ10" s="81"/>
      <c r="BA10" s="81"/>
      <c r="BB10" s="81"/>
      <c r="BC10" s="81"/>
      <c r="BD10" s="81"/>
      <c r="BE10" s="81"/>
      <c r="BF10" s="81"/>
      <c r="BG10" s="81"/>
    </row>
    <row r="11" spans="1:60" s="9" customFormat="1" ht="43.9" customHeight="1" x14ac:dyDescent="0.3">
      <c r="A11" s="1109" t="s">
        <v>457</v>
      </c>
      <c r="B11" s="2833" t="s">
        <v>490</v>
      </c>
      <c r="C11" s="2833"/>
      <c r="D11" s="2833"/>
      <c r="E11" s="1110">
        <v>1001</v>
      </c>
      <c r="F11" s="1111">
        <f t="shared" si="0"/>
        <v>0</v>
      </c>
      <c r="G11" s="2687">
        <v>0</v>
      </c>
      <c r="H11" s="2688"/>
      <c r="I11" s="2660">
        <v>0</v>
      </c>
      <c r="J11" s="2661"/>
      <c r="K11" s="1112">
        <v>0</v>
      </c>
      <c r="L11" s="1113">
        <v>0</v>
      </c>
      <c r="M11" s="1111">
        <f>N11+O11+Q11+P11</f>
        <v>0</v>
      </c>
      <c r="N11" s="1112">
        <v>0</v>
      </c>
      <c r="O11" s="1112">
        <v>0</v>
      </c>
      <c r="P11" s="1112">
        <v>0</v>
      </c>
      <c r="Q11" s="1113">
        <v>0</v>
      </c>
      <c r="R11" s="2786">
        <f>T11+V11+Z11+X11</f>
        <v>0</v>
      </c>
      <c r="S11" s="2784"/>
      <c r="T11" s="2734">
        <v>0</v>
      </c>
      <c r="U11" s="2734"/>
      <c r="V11" s="2734">
        <v>0</v>
      </c>
      <c r="W11" s="2734"/>
      <c r="X11" s="2734">
        <v>0</v>
      </c>
      <c r="Y11" s="2734"/>
      <c r="Z11" s="2734">
        <v>0</v>
      </c>
      <c r="AA11" s="2782"/>
      <c r="AB11" s="1114">
        <f t="shared" si="1"/>
        <v>0</v>
      </c>
      <c r="AC11" s="1115">
        <f>G11+N11-T11+F42</f>
        <v>0</v>
      </c>
      <c r="AD11" s="1116">
        <f>I11+O11-V11</f>
        <v>0</v>
      </c>
      <c r="AE11" s="1117">
        <f>K11+P11-X11-I42</f>
        <v>0</v>
      </c>
      <c r="AF11" s="1118">
        <f>L11+Q11-Z11</f>
        <v>0</v>
      </c>
      <c r="AG11" s="2797"/>
      <c r="AH11" s="2796"/>
      <c r="AI11" s="2796"/>
      <c r="AJ11" s="2805"/>
      <c r="AK11" s="256">
        <f>F10/1000</f>
        <v>0</v>
      </c>
      <c r="AL11" s="257">
        <f>AB10/1000</f>
        <v>0</v>
      </c>
      <c r="AM11" s="2796" t="s">
        <v>600</v>
      </c>
      <c r="AN11" s="2800" t="s">
        <v>601</v>
      </c>
      <c r="AO11" s="183"/>
      <c r="AP11" s="183"/>
      <c r="AQ11" s="183"/>
      <c r="AR11" s="183"/>
      <c r="AS11" s="183"/>
      <c r="AT11" s="183"/>
      <c r="AU11" s="183"/>
      <c r="AV11" s="183"/>
      <c r="AW11" s="183"/>
      <c r="AX11" s="81"/>
      <c r="AY11" s="81"/>
      <c r="AZ11" s="81"/>
      <c r="BA11" s="81"/>
      <c r="BB11" s="81"/>
      <c r="BC11" s="81"/>
      <c r="BD11" s="81"/>
      <c r="BE11" s="81"/>
      <c r="BF11" s="81"/>
      <c r="BG11" s="81"/>
    </row>
    <row r="12" spans="1:60" s="9" customFormat="1" ht="39.75" customHeight="1" x14ac:dyDescent="0.3">
      <c r="A12" s="1109" t="s">
        <v>458</v>
      </c>
      <c r="B12" s="2833" t="s">
        <v>475</v>
      </c>
      <c r="C12" s="2833"/>
      <c r="D12" s="2833"/>
      <c r="E12" s="1119">
        <v>1002</v>
      </c>
      <c r="F12" s="1111">
        <f t="shared" si="0"/>
        <v>0</v>
      </c>
      <c r="G12" s="2687">
        <v>0</v>
      </c>
      <c r="H12" s="2688"/>
      <c r="I12" s="2660">
        <v>0</v>
      </c>
      <c r="J12" s="2661"/>
      <c r="K12" s="1112">
        <v>0</v>
      </c>
      <c r="L12" s="1113">
        <v>0</v>
      </c>
      <c r="M12" s="1111">
        <f>N12+O12+Q12+P12</f>
        <v>0</v>
      </c>
      <c r="N12" s="1112">
        <v>0</v>
      </c>
      <c r="O12" s="1112">
        <v>0</v>
      </c>
      <c r="P12" s="1112">
        <v>0</v>
      </c>
      <c r="Q12" s="1113">
        <v>0</v>
      </c>
      <c r="R12" s="2786">
        <f>T12+V12+Z12+X12</f>
        <v>0</v>
      </c>
      <c r="S12" s="2784"/>
      <c r="T12" s="2734">
        <v>0</v>
      </c>
      <c r="U12" s="2734"/>
      <c r="V12" s="2734">
        <v>0</v>
      </c>
      <c r="W12" s="2734"/>
      <c r="X12" s="2734">
        <v>0</v>
      </c>
      <c r="Y12" s="2734"/>
      <c r="Z12" s="2734">
        <v>0</v>
      </c>
      <c r="AA12" s="2782"/>
      <c r="AB12" s="1114">
        <f>AC12+AD12+AF12+AE12</f>
        <v>0</v>
      </c>
      <c r="AC12" s="1115">
        <f>G12+T12-N12+H43</f>
        <v>0</v>
      </c>
      <c r="AD12" s="1116">
        <f>I12+V12-O12</f>
        <v>0</v>
      </c>
      <c r="AE12" s="1117">
        <f>K12+X12-P12-G43</f>
        <v>0</v>
      </c>
      <c r="AF12" s="1118">
        <f>L12+Z12-Q12</f>
        <v>0</v>
      </c>
      <c r="AG12" s="2797"/>
      <c r="AH12" s="2796"/>
      <c r="AI12" s="2796"/>
      <c r="AJ12" s="2805"/>
      <c r="AK12" s="634" t="s">
        <v>749</v>
      </c>
      <c r="AL12" s="329" t="s">
        <v>750</v>
      </c>
      <c r="AM12" s="2796"/>
      <c r="AN12" s="2800"/>
      <c r="AO12" s="183"/>
      <c r="AP12" s="183"/>
      <c r="AQ12" s="183"/>
      <c r="AR12" s="183"/>
      <c r="AS12" s="183"/>
      <c r="AT12" s="183"/>
      <c r="AU12" s="183"/>
      <c r="AV12" s="183"/>
      <c r="AW12" s="183"/>
      <c r="AX12" s="81"/>
      <c r="AY12" s="81"/>
      <c r="AZ12" s="81"/>
      <c r="BA12" s="81"/>
      <c r="BB12" s="81"/>
      <c r="BC12" s="81"/>
      <c r="BD12" s="81"/>
      <c r="BE12" s="81"/>
      <c r="BF12" s="81"/>
      <c r="BG12" s="81"/>
    </row>
    <row r="13" spans="1:60" s="9" customFormat="1" ht="36.75" customHeight="1" x14ac:dyDescent="0.3">
      <c r="A13" s="1109" t="s">
        <v>529</v>
      </c>
      <c r="B13" s="2834" t="s">
        <v>491</v>
      </c>
      <c r="C13" s="2834"/>
      <c r="D13" s="2834"/>
      <c r="E13" s="1119"/>
      <c r="F13" s="1111">
        <f t="shared" si="0"/>
        <v>0</v>
      </c>
      <c r="G13" s="2645">
        <f>G14-G15</f>
        <v>0</v>
      </c>
      <c r="H13" s="2646"/>
      <c r="I13" s="2645">
        <f>I14-I15</f>
        <v>0</v>
      </c>
      <c r="J13" s="2646"/>
      <c r="K13" s="1120">
        <f>K14-K15</f>
        <v>0</v>
      </c>
      <c r="L13" s="1121">
        <f>L14-L15</f>
        <v>0</v>
      </c>
      <c r="M13" s="1122" t="s">
        <v>296</v>
      </c>
      <c r="N13" s="1123" t="s">
        <v>296</v>
      </c>
      <c r="O13" s="1123" t="s">
        <v>296</v>
      </c>
      <c r="P13" s="1123" t="s">
        <v>296</v>
      </c>
      <c r="Q13" s="1124" t="s">
        <v>296</v>
      </c>
      <c r="R13" s="2786" t="s">
        <v>296</v>
      </c>
      <c r="S13" s="2784"/>
      <c r="T13" s="2784" t="s">
        <v>296</v>
      </c>
      <c r="U13" s="2784"/>
      <c r="V13" s="2784" t="s">
        <v>296</v>
      </c>
      <c r="W13" s="2784"/>
      <c r="X13" s="2784" t="s">
        <v>296</v>
      </c>
      <c r="Y13" s="2784"/>
      <c r="Z13" s="2784" t="s">
        <v>296</v>
      </c>
      <c r="AA13" s="2798"/>
      <c r="AB13" s="1114">
        <f t="shared" si="1"/>
        <v>0</v>
      </c>
      <c r="AC13" s="1120">
        <f>AC14-AC15</f>
        <v>0</v>
      </c>
      <c r="AD13" s="1120">
        <f>AD14-AD15</f>
        <v>0</v>
      </c>
      <c r="AE13" s="1120">
        <f>AE14-AE15</f>
        <v>0</v>
      </c>
      <c r="AF13" s="1121">
        <f>AF14-AF15</f>
        <v>0</v>
      </c>
      <c r="AG13" s="2797"/>
      <c r="AH13" s="2796"/>
      <c r="AI13" s="2796"/>
      <c r="AJ13" s="2805"/>
      <c r="AK13" s="256">
        <f>'Звіт   9'!H10</f>
        <v>0</v>
      </c>
      <c r="AL13" s="257">
        <f>'Звіт   9'!K10</f>
        <v>0</v>
      </c>
      <c r="AM13" s="2796"/>
      <c r="AN13" s="2800"/>
      <c r="AO13" s="183"/>
      <c r="AP13" s="183"/>
      <c r="AQ13" s="183"/>
      <c r="AR13" s="183"/>
      <c r="AS13" s="183"/>
      <c r="AT13" s="183"/>
      <c r="AU13" s="183"/>
      <c r="AV13" s="183"/>
      <c r="AW13" s="183"/>
      <c r="AX13" s="81"/>
      <c r="AY13" s="81"/>
      <c r="AZ13" s="81"/>
      <c r="BA13" s="81"/>
      <c r="BB13" s="81"/>
      <c r="BC13" s="81"/>
      <c r="BD13" s="81"/>
      <c r="BE13" s="81"/>
      <c r="BF13" s="81"/>
      <c r="BG13" s="81"/>
    </row>
    <row r="14" spans="1:60" s="9" customFormat="1" ht="45" customHeight="1" x14ac:dyDescent="0.3">
      <c r="A14" s="1109" t="s">
        <v>740</v>
      </c>
      <c r="B14" s="2711" t="s">
        <v>773</v>
      </c>
      <c r="C14" s="2711"/>
      <c r="D14" s="2711"/>
      <c r="E14" s="1119"/>
      <c r="F14" s="1111">
        <f t="shared" si="0"/>
        <v>0</v>
      </c>
      <c r="G14" s="2633">
        <v>0</v>
      </c>
      <c r="H14" s="2634"/>
      <c r="I14" s="2633">
        <v>0</v>
      </c>
      <c r="J14" s="2634"/>
      <c r="K14" s="1112">
        <v>0</v>
      </c>
      <c r="L14" s="1113">
        <v>0</v>
      </c>
      <c r="M14" s="1111">
        <f>N14+O14+Q14+P14</f>
        <v>0</v>
      </c>
      <c r="N14" s="1112">
        <v>0</v>
      </c>
      <c r="O14" s="1112">
        <v>0</v>
      </c>
      <c r="P14" s="1112">
        <v>0</v>
      </c>
      <c r="Q14" s="1113">
        <v>0</v>
      </c>
      <c r="R14" s="2786">
        <f>T14+V14+Z14+X14</f>
        <v>0</v>
      </c>
      <c r="S14" s="2784"/>
      <c r="T14" s="2734">
        <v>0</v>
      </c>
      <c r="U14" s="2734"/>
      <c r="V14" s="2734">
        <v>0</v>
      </c>
      <c r="W14" s="2734"/>
      <c r="X14" s="2734">
        <v>0</v>
      </c>
      <c r="Y14" s="2734"/>
      <c r="Z14" s="2734">
        <v>0</v>
      </c>
      <c r="AA14" s="2782"/>
      <c r="AB14" s="1125">
        <f t="shared" si="1"/>
        <v>0</v>
      </c>
      <c r="AC14" s="1126">
        <f>G14+N14-T14+F45</f>
        <v>0</v>
      </c>
      <c r="AD14" s="1126">
        <f>I14+O14-V14</f>
        <v>0</v>
      </c>
      <c r="AE14" s="1117">
        <f>K14+P14-X14-I45</f>
        <v>0</v>
      </c>
      <c r="AF14" s="1118">
        <f>L14+Q14-Z14</f>
        <v>0</v>
      </c>
      <c r="AG14" s="2797"/>
      <c r="AH14" s="2796"/>
      <c r="AI14" s="2796"/>
      <c r="AJ14" s="2805"/>
      <c r="AK14" s="328" t="s">
        <v>535</v>
      </c>
      <c r="AL14" s="327" t="s">
        <v>535</v>
      </c>
      <c r="AM14" s="2796"/>
      <c r="AN14" s="2800"/>
      <c r="AO14" s="183"/>
      <c r="AP14" s="183"/>
      <c r="AQ14" s="183"/>
      <c r="AR14" s="183"/>
      <c r="AS14" s="183"/>
      <c r="AT14" s="183"/>
      <c r="AU14" s="183"/>
      <c r="AV14" s="183"/>
      <c r="AW14" s="183"/>
      <c r="AX14" s="81"/>
      <c r="AY14" s="81"/>
      <c r="AZ14" s="81"/>
      <c r="BA14" s="81"/>
      <c r="BB14" s="81"/>
      <c r="BC14" s="81"/>
      <c r="BD14" s="81"/>
      <c r="BE14" s="81"/>
      <c r="BF14" s="81"/>
      <c r="BG14" s="81"/>
    </row>
    <row r="15" spans="1:60" s="9" customFormat="1" ht="42" customHeight="1" thickBot="1" x14ac:dyDescent="0.35">
      <c r="A15" s="1127" t="s">
        <v>741</v>
      </c>
      <c r="B15" s="2783" t="s">
        <v>1376</v>
      </c>
      <c r="C15" s="2783"/>
      <c r="D15" s="2783"/>
      <c r="E15" s="1128"/>
      <c r="F15" s="1129">
        <f t="shared" si="0"/>
        <v>0</v>
      </c>
      <c r="G15" s="2637">
        <v>0</v>
      </c>
      <c r="H15" s="2638"/>
      <c r="I15" s="2637">
        <v>0</v>
      </c>
      <c r="J15" s="2638"/>
      <c r="K15" s="1130">
        <v>0</v>
      </c>
      <c r="L15" s="1131">
        <v>0</v>
      </c>
      <c r="M15" s="1129">
        <f>N15+O15+Q15+P15</f>
        <v>0</v>
      </c>
      <c r="N15" s="1130">
        <v>0</v>
      </c>
      <c r="O15" s="1130">
        <v>0</v>
      </c>
      <c r="P15" s="1130">
        <v>0</v>
      </c>
      <c r="Q15" s="1131">
        <v>0</v>
      </c>
      <c r="R15" s="2788">
        <f>T15+V15+Z15+X15</f>
        <v>0</v>
      </c>
      <c r="S15" s="2789"/>
      <c r="T15" s="2787">
        <v>0</v>
      </c>
      <c r="U15" s="2787"/>
      <c r="V15" s="2787">
        <v>0</v>
      </c>
      <c r="W15" s="2787"/>
      <c r="X15" s="2787">
        <v>0</v>
      </c>
      <c r="Y15" s="2787"/>
      <c r="Z15" s="2787">
        <v>0</v>
      </c>
      <c r="AA15" s="2799"/>
      <c r="AB15" s="1132">
        <f t="shared" si="1"/>
        <v>0</v>
      </c>
      <c r="AC15" s="1133">
        <f>G15+T15-N15+H46</f>
        <v>0</v>
      </c>
      <c r="AD15" s="1133">
        <f>I15+V15-O15</f>
        <v>0</v>
      </c>
      <c r="AE15" s="1134">
        <f>K15+X15-P15-G46</f>
        <v>0</v>
      </c>
      <c r="AF15" s="1135">
        <f>L15+Z15-Q15</f>
        <v>0</v>
      </c>
      <c r="AG15" s="2797"/>
      <c r="AH15" s="2796"/>
      <c r="AI15" s="2796"/>
      <c r="AJ15" s="2805"/>
      <c r="AK15" s="1090">
        <f>AK13-AK11</f>
        <v>0</v>
      </c>
      <c r="AL15" s="1085">
        <f>AL13-AL11</f>
        <v>0</v>
      </c>
      <c r="AM15" s="2796"/>
      <c r="AN15" s="2800"/>
      <c r="AO15" s="183"/>
      <c r="AP15" s="183"/>
      <c r="AQ15" s="183"/>
      <c r="AR15" s="183"/>
      <c r="AS15" s="183"/>
      <c r="AT15" s="183"/>
      <c r="AU15" s="183"/>
      <c r="AV15" s="183"/>
      <c r="AW15" s="183"/>
      <c r="AX15" s="81"/>
      <c r="AY15" s="81"/>
      <c r="AZ15" s="81"/>
      <c r="BA15" s="81"/>
      <c r="BB15" s="81"/>
      <c r="BC15" s="81"/>
      <c r="BD15" s="81"/>
      <c r="BE15" s="81"/>
      <c r="BF15" s="81"/>
      <c r="BG15" s="81"/>
    </row>
    <row r="16" spans="1:60" s="137" customFormat="1" ht="43.5" customHeight="1" thickBot="1" x14ac:dyDescent="0.35">
      <c r="A16" s="1136"/>
      <c r="B16" s="1137"/>
      <c r="C16" s="1137"/>
      <c r="D16" s="1137"/>
      <c r="E16" s="1138"/>
      <c r="F16" s="1139"/>
      <c r="G16" s="1140"/>
      <c r="H16" s="1140"/>
      <c r="I16" s="1140"/>
      <c r="J16" s="1140"/>
      <c r="K16" s="1140"/>
      <c r="L16" s="1141"/>
      <c r="M16" s="1139"/>
      <c r="N16" s="1140"/>
      <c r="O16" s="1140"/>
      <c r="P16" s="1140"/>
      <c r="Q16" s="1140"/>
      <c r="R16" s="1142" t="s">
        <v>810</v>
      </c>
      <c r="S16" s="1143" t="s">
        <v>811</v>
      </c>
      <c r="T16" s="1144" t="s">
        <v>810</v>
      </c>
      <c r="U16" s="1145" t="s">
        <v>811</v>
      </c>
      <c r="V16" s="1145" t="s">
        <v>810</v>
      </c>
      <c r="W16" s="1145" t="s">
        <v>811</v>
      </c>
      <c r="X16" s="1145" t="s">
        <v>810</v>
      </c>
      <c r="Y16" s="1145" t="s">
        <v>811</v>
      </c>
      <c r="Z16" s="1145" t="s">
        <v>810</v>
      </c>
      <c r="AA16" s="1146" t="s">
        <v>811</v>
      </c>
      <c r="AB16" s="1147"/>
      <c r="AC16" s="1147"/>
      <c r="AD16" s="1147"/>
      <c r="AE16" s="1147"/>
      <c r="AF16" s="1147"/>
      <c r="AG16" s="2797"/>
      <c r="AH16" s="2796"/>
      <c r="AI16" s="2796"/>
      <c r="AJ16" s="2805"/>
      <c r="AK16" s="2770" t="s">
        <v>1239</v>
      </c>
      <c r="AL16" s="2771"/>
      <c r="AM16" s="2771"/>
      <c r="AN16" s="2772"/>
      <c r="AO16" s="185"/>
      <c r="AP16" s="185"/>
      <c r="AQ16" s="185"/>
      <c r="AR16" s="185"/>
      <c r="AS16" s="185"/>
      <c r="AT16" s="185"/>
      <c r="AU16" s="185"/>
      <c r="AV16" s="185"/>
      <c r="AW16" s="185"/>
      <c r="AX16" s="185"/>
      <c r="AY16" s="185"/>
      <c r="AZ16" s="185"/>
      <c r="BA16" s="185"/>
      <c r="BB16" s="185"/>
      <c r="BC16" s="185"/>
      <c r="BD16" s="185"/>
      <c r="BE16" s="185"/>
      <c r="BF16" s="185"/>
      <c r="BG16" s="185"/>
    </row>
    <row r="17" spans="1:59" s="9" customFormat="1" ht="42.75" customHeight="1" thickBot="1" x14ac:dyDescent="0.35">
      <c r="A17" s="1148" t="s">
        <v>456</v>
      </c>
      <c r="B17" s="2845" t="s">
        <v>102</v>
      </c>
      <c r="C17" s="2845"/>
      <c r="D17" s="2845"/>
      <c r="E17" s="1149">
        <v>1005</v>
      </c>
      <c r="F17" s="1150">
        <f>I17+L17+K17</f>
        <v>106606</v>
      </c>
      <c r="G17" s="2639" t="s">
        <v>296</v>
      </c>
      <c r="H17" s="2640"/>
      <c r="I17" s="2641">
        <v>106606</v>
      </c>
      <c r="J17" s="2642"/>
      <c r="K17" s="1151">
        <v>0</v>
      </c>
      <c r="L17" s="1151">
        <v>0</v>
      </c>
      <c r="M17" s="1150">
        <f>O17+Q17+P17+N17</f>
        <v>27308</v>
      </c>
      <c r="N17" s="1152">
        <v>0</v>
      </c>
      <c r="O17" s="1152"/>
      <c r="P17" s="1151">
        <v>0</v>
      </c>
      <c r="Q17" s="1151">
        <v>27308</v>
      </c>
      <c r="R17" s="1150">
        <f>Z17+X17+V17+T17</f>
        <v>73042</v>
      </c>
      <c r="S17" s="1153">
        <f>AA17+Y17+W17+U17</f>
        <v>0</v>
      </c>
      <c r="T17" s="1154">
        <v>0</v>
      </c>
      <c r="U17" s="1155">
        <v>0</v>
      </c>
      <c r="V17" s="1155">
        <v>45734</v>
      </c>
      <c r="W17" s="1130">
        <v>0</v>
      </c>
      <c r="X17" s="1130">
        <v>0</v>
      </c>
      <c r="Y17" s="1130">
        <v>0</v>
      </c>
      <c r="Z17" s="1130">
        <v>27308</v>
      </c>
      <c r="AA17" s="1156">
        <v>0</v>
      </c>
      <c r="AB17" s="1157">
        <f>AD17+AF17+AE17</f>
        <v>60872</v>
      </c>
      <c r="AC17" s="1158">
        <f>N17-T17-U17</f>
        <v>0</v>
      </c>
      <c r="AD17" s="1159">
        <f>I17+O17-V17-W17</f>
        <v>60872</v>
      </c>
      <c r="AE17" s="1160">
        <f>K17+P17-X17-Y17</f>
        <v>0</v>
      </c>
      <c r="AF17" s="1161">
        <f>L17+Q17-Z17-AA17</f>
        <v>0</v>
      </c>
      <c r="AG17" s="1073" t="str">
        <f>IF('Звіт   4,5,6'!E39=0,"Дані не введено",IF(AND(M17='Звіт 1,2,3'!G70,R17=(M11+M20)),"ПРАВДА","ПОМИЛКА"))</f>
        <v>ПРАВДА</v>
      </c>
      <c r="AH17" s="945" t="str">
        <f>IF('Звіт   4,5,6'!E39=0,"Дані не введено",IF((N17+O17)=('Звіт 1,2,3'!I70+'Звіт 1,2,3'!J70+'Звіт 1,2,3'!K70+'Звіт 1,2,3'!L70+'Звіт 1,2,3'!M70+'Звіт 1,2,3'!N70),"ПРАВДА","ПОМИЛКА"))</f>
        <v>ПРАВДА</v>
      </c>
      <c r="AI17" s="945" t="str">
        <f>IF('Звіт   4,5,6'!E39=0,"Дані не введено",IF(AND((ROUND(I17/1000,1)-AI20)&lt;=1,((ROUND(I17/1000,1)-AI20)&gt;=-1)),"ПРАВДА","ПОМИЛКА"))</f>
        <v>ПРАВДА</v>
      </c>
      <c r="AJ17" s="1080" t="str">
        <f>IF('Звіт   4,5,6'!E39=0,"Дані не введено",IF(AND((ROUND((AD17+I78)/1000,1)-AJ20)&lt;=1,((ROUND((AD17+I78)/1000,1)-AJ20)&gt;=-1)),"ПРАВДА","ПОМИЛКА"))</f>
        <v>ПРАВДА</v>
      </c>
      <c r="AK17" s="2770"/>
      <c r="AL17" s="2771"/>
      <c r="AM17" s="2771"/>
      <c r="AN17" s="2772"/>
      <c r="AO17" s="185"/>
      <c r="AP17" s="183"/>
      <c r="AQ17" s="183"/>
      <c r="AR17" s="183"/>
      <c r="AS17" s="183"/>
      <c r="AT17" s="183"/>
      <c r="AU17" s="183"/>
      <c r="AV17" s="183"/>
      <c r="AW17" s="183"/>
      <c r="AX17" s="81"/>
      <c r="AY17" s="81"/>
      <c r="AZ17" s="81"/>
      <c r="BA17" s="81"/>
      <c r="BB17" s="81"/>
      <c r="BC17" s="81"/>
      <c r="BD17" s="81"/>
      <c r="BE17" s="81"/>
      <c r="BF17" s="81"/>
      <c r="BG17" s="81"/>
    </row>
    <row r="18" spans="1:59" s="137" customFormat="1" ht="26.25" customHeight="1" thickBot="1" x14ac:dyDescent="0.35">
      <c r="A18" s="1136"/>
      <c r="B18" s="1162"/>
      <c r="C18" s="1162"/>
      <c r="D18" s="1162"/>
      <c r="E18" s="1138"/>
      <c r="F18" s="1139"/>
      <c r="G18" s="1163"/>
      <c r="H18" s="1163"/>
      <c r="I18" s="1140"/>
      <c r="J18" s="1140"/>
      <c r="K18" s="1140"/>
      <c r="L18" s="1141"/>
      <c r="M18" s="1139"/>
      <c r="N18" s="1140"/>
      <c r="O18" s="1140"/>
      <c r="P18" s="1140"/>
      <c r="Q18" s="1141"/>
      <c r="R18" s="1139"/>
      <c r="S18" s="1164"/>
      <c r="T18" s="1140"/>
      <c r="U18" s="1140"/>
      <c r="V18" s="1140"/>
      <c r="W18" s="1140"/>
      <c r="X18" s="1140"/>
      <c r="Y18" s="1140"/>
      <c r="Z18" s="1140"/>
      <c r="AA18" s="1141"/>
      <c r="AB18" s="1147"/>
      <c r="AC18" s="1147"/>
      <c r="AD18" s="1147"/>
      <c r="AE18" s="1147"/>
      <c r="AF18" s="1147"/>
      <c r="AG18" s="2797" t="s">
        <v>602</v>
      </c>
      <c r="AH18" s="2796" t="s">
        <v>603</v>
      </c>
      <c r="AI18" s="2796" t="s">
        <v>745</v>
      </c>
      <c r="AJ18" s="2805" t="s">
        <v>746</v>
      </c>
      <c r="AK18" s="2770"/>
      <c r="AL18" s="2771"/>
      <c r="AM18" s="2771"/>
      <c r="AN18" s="2772"/>
      <c r="AO18" s="185"/>
      <c r="AP18" s="185"/>
      <c r="AQ18" s="185"/>
      <c r="AR18" s="185"/>
      <c r="AS18" s="185"/>
      <c r="AT18" s="185"/>
      <c r="AU18" s="185"/>
      <c r="AV18" s="185"/>
      <c r="AW18" s="185"/>
      <c r="AX18" s="185"/>
      <c r="AY18" s="185"/>
      <c r="AZ18" s="185"/>
      <c r="BA18" s="185"/>
      <c r="BB18" s="185"/>
      <c r="BC18" s="185"/>
      <c r="BD18" s="185"/>
      <c r="BE18" s="185"/>
      <c r="BF18" s="185"/>
      <c r="BG18" s="185"/>
    </row>
    <row r="19" spans="1:59" s="9" customFormat="1" ht="36" customHeight="1" x14ac:dyDescent="0.3">
      <c r="A19" s="1098" t="s">
        <v>459</v>
      </c>
      <c r="B19" s="2832" t="s">
        <v>103</v>
      </c>
      <c r="C19" s="2832"/>
      <c r="D19" s="2832"/>
      <c r="E19" s="1099">
        <v>1010</v>
      </c>
      <c r="F19" s="1100">
        <f t="shared" ref="F19:F24" si="2">G19+I19+L19+K19</f>
        <v>48408092</v>
      </c>
      <c r="G19" s="2643">
        <f>G20-G21+G22</f>
        <v>23681096</v>
      </c>
      <c r="H19" s="2644"/>
      <c r="I19" s="2643">
        <f>I20-I21+I22</f>
        <v>244911</v>
      </c>
      <c r="J19" s="2644"/>
      <c r="K19" s="1101">
        <f>K20-K21+K22</f>
        <v>24482085</v>
      </c>
      <c r="L19" s="1165">
        <f>L20-L21+L22</f>
        <v>0</v>
      </c>
      <c r="M19" s="1103" t="s">
        <v>296</v>
      </c>
      <c r="N19" s="1104" t="s">
        <v>296</v>
      </c>
      <c r="O19" s="1104" t="s">
        <v>296</v>
      </c>
      <c r="P19" s="1104" t="s">
        <v>296</v>
      </c>
      <c r="Q19" s="1401" t="s">
        <v>296</v>
      </c>
      <c r="R19" s="2816" t="s">
        <v>296</v>
      </c>
      <c r="S19" s="2790"/>
      <c r="T19" s="2790" t="s">
        <v>296</v>
      </c>
      <c r="U19" s="2790"/>
      <c r="V19" s="2790" t="s">
        <v>296</v>
      </c>
      <c r="W19" s="2790"/>
      <c r="X19" s="2790" t="s">
        <v>296</v>
      </c>
      <c r="Y19" s="2790"/>
      <c r="Z19" s="2790" t="s">
        <v>296</v>
      </c>
      <c r="AA19" s="2791"/>
      <c r="AB19" s="1166">
        <f t="shared" ref="AB19:AB24" si="3">AC19+AD19+AF19+AE19</f>
        <v>48363160</v>
      </c>
      <c r="AC19" s="1167">
        <f>AC20-AC21+AC22</f>
        <v>23659596</v>
      </c>
      <c r="AD19" s="1167">
        <f>AD20-AD21+AD22</f>
        <v>194849</v>
      </c>
      <c r="AE19" s="1167">
        <f>AE20-AE21+AE22</f>
        <v>24482085</v>
      </c>
      <c r="AF19" s="1168">
        <f>AF20-AF21+AF22</f>
        <v>26630</v>
      </c>
      <c r="AG19" s="2797"/>
      <c r="AH19" s="2796"/>
      <c r="AI19" s="2796"/>
      <c r="AJ19" s="2805"/>
      <c r="AK19" s="1075" t="s">
        <v>604</v>
      </c>
      <c r="AL19" s="1076" t="s">
        <v>605</v>
      </c>
      <c r="AM19" s="945" t="str">
        <f>IF('Звіт   4,5,6'!E39=0,"Дані не введено",IF(AND((ROUND(F19/1000,1)-AK22)&lt;=1,((ROUND(F19/1000,1)-AK22)&gt;=-1)),"ПРАВДА","ПОМИЛКА"))</f>
        <v>ПРАВДА</v>
      </c>
      <c r="AN19" s="1074" t="str">
        <f>IF('Звіт   4,5,6'!E39=0,"Дані не введено",IF(AND((ROUND(AB19/1000,1)-AL22)&lt;=1,((ROUND(AB19/1000,1)-AL22)&gt;=-1)),"ПРАВДА","ПОМИЛКА"))</f>
        <v>ПРАВДА</v>
      </c>
      <c r="AO19" s="183"/>
      <c r="AP19" s="183"/>
      <c r="AQ19" s="183"/>
      <c r="AR19" s="183"/>
      <c r="AS19" s="183"/>
      <c r="AT19" s="183"/>
      <c r="AU19" s="183"/>
      <c r="AV19" s="183"/>
      <c r="AW19" s="183"/>
      <c r="AX19" s="81"/>
      <c r="AY19" s="81"/>
      <c r="AZ19" s="81"/>
      <c r="BA19" s="81"/>
      <c r="BB19" s="81"/>
      <c r="BC19" s="81"/>
      <c r="BD19" s="81"/>
      <c r="BE19" s="81"/>
      <c r="BF19" s="81"/>
      <c r="BG19" s="81"/>
    </row>
    <row r="20" spans="1:59" s="9" customFormat="1" ht="47.25" customHeight="1" x14ac:dyDescent="0.3">
      <c r="A20" s="1109" t="s">
        <v>460</v>
      </c>
      <c r="B20" s="2833" t="s">
        <v>492</v>
      </c>
      <c r="C20" s="2833"/>
      <c r="D20" s="2833"/>
      <c r="E20" s="1110">
        <v>1011</v>
      </c>
      <c r="F20" s="1111">
        <f t="shared" si="2"/>
        <v>87512232</v>
      </c>
      <c r="G20" s="2687">
        <f>29592689+12261781</f>
        <v>41854470</v>
      </c>
      <c r="H20" s="2688"/>
      <c r="I20" s="2660">
        <v>444336</v>
      </c>
      <c r="J20" s="2661"/>
      <c r="K20" s="1169">
        <v>45213426</v>
      </c>
      <c r="L20" s="1169">
        <v>0</v>
      </c>
      <c r="M20" s="1111">
        <f>N20+O20+Q20+P20</f>
        <v>73042</v>
      </c>
      <c r="N20" s="1170">
        <v>0</v>
      </c>
      <c r="O20" s="1170">
        <v>45734</v>
      </c>
      <c r="P20" s="1169">
        <v>0</v>
      </c>
      <c r="Q20" s="1437">
        <v>27308</v>
      </c>
      <c r="R20" s="2786">
        <f>T20+V20+Z20+X20</f>
        <v>95082</v>
      </c>
      <c r="S20" s="2784"/>
      <c r="T20" s="2792">
        <v>44223</v>
      </c>
      <c r="U20" s="2792"/>
      <c r="V20" s="2785">
        <v>50181</v>
      </c>
      <c r="W20" s="2785"/>
      <c r="X20" s="2792">
        <v>0</v>
      </c>
      <c r="Y20" s="2792"/>
      <c r="Z20" s="2792">
        <v>678</v>
      </c>
      <c r="AA20" s="2793"/>
      <c r="AB20" s="1114">
        <f t="shared" si="3"/>
        <v>87490192</v>
      </c>
      <c r="AC20" s="1115">
        <f>G20+N20-T20+F48</f>
        <v>41810247</v>
      </c>
      <c r="AD20" s="1116">
        <f>I20+O20-V20</f>
        <v>439889</v>
      </c>
      <c r="AE20" s="1117">
        <f>K20+P20-X20-I48</f>
        <v>45213426</v>
      </c>
      <c r="AF20" s="1118">
        <f>L20+Q20-Z20</f>
        <v>26630</v>
      </c>
      <c r="AG20" s="256">
        <f>'Звіт 1,2,3'!G70</f>
        <v>27308</v>
      </c>
      <c r="AH20" s="257">
        <f>SUM('Звіт 1,2,3'!I70:N70)</f>
        <v>0</v>
      </c>
      <c r="AI20" s="257">
        <f>'Звіт   9'!H67</f>
        <v>106.6</v>
      </c>
      <c r="AJ20" s="1081">
        <f>'Звіт   9'!K67</f>
        <v>60.9</v>
      </c>
      <c r="AK20" s="256">
        <f>F19/1000</f>
        <v>48408.091999999997</v>
      </c>
      <c r="AL20" s="257">
        <f>AB19/1000</f>
        <v>48363.16</v>
      </c>
      <c r="AM20" s="2796" t="s">
        <v>606</v>
      </c>
      <c r="AN20" s="2800" t="s">
        <v>607</v>
      </c>
      <c r="AO20" s="2795"/>
      <c r="AP20" s="2794"/>
      <c r="AQ20" s="183"/>
      <c r="AR20" s="183"/>
      <c r="AS20" s="183"/>
      <c r="AT20" s="183"/>
      <c r="AU20" s="183"/>
      <c r="AV20" s="183"/>
      <c r="AW20" s="183"/>
      <c r="AX20" s="81"/>
      <c r="AY20" s="81"/>
      <c r="AZ20" s="81"/>
      <c r="BA20" s="81"/>
      <c r="BB20" s="81"/>
      <c r="BC20" s="81"/>
      <c r="BD20" s="81"/>
      <c r="BE20" s="81"/>
      <c r="BF20" s="81"/>
      <c r="BG20" s="81"/>
    </row>
    <row r="21" spans="1:59" s="9" customFormat="1" ht="36.75" customHeight="1" x14ac:dyDescent="0.3">
      <c r="A21" s="1109" t="s">
        <v>461</v>
      </c>
      <c r="B21" s="2833" t="s">
        <v>476</v>
      </c>
      <c r="C21" s="2833"/>
      <c r="D21" s="2833"/>
      <c r="E21" s="1110">
        <v>1012</v>
      </c>
      <c r="F21" s="1111">
        <f t="shared" si="2"/>
        <v>39104140</v>
      </c>
      <c r="G21" s="2687">
        <f>15831020+2342354</f>
        <v>18173374</v>
      </c>
      <c r="H21" s="2688"/>
      <c r="I21" s="2660">
        <v>199425</v>
      </c>
      <c r="J21" s="2661"/>
      <c r="K21" s="1169">
        <v>20731341</v>
      </c>
      <c r="L21" s="1169">
        <v>0</v>
      </c>
      <c r="M21" s="1111">
        <f>N21+O21+Q21+P21</f>
        <v>95082</v>
      </c>
      <c r="N21" s="1169">
        <v>44223</v>
      </c>
      <c r="O21" s="1169">
        <v>50181</v>
      </c>
      <c r="P21" s="1169">
        <v>0</v>
      </c>
      <c r="Q21" s="1437">
        <v>678</v>
      </c>
      <c r="R21" s="2786">
        <f>T21+V21+Z21+X21</f>
        <v>117974</v>
      </c>
      <c r="S21" s="2784"/>
      <c r="T21" s="2792">
        <v>21500</v>
      </c>
      <c r="U21" s="2792"/>
      <c r="V21" s="2785">
        <f>89013-21898-21500+50181</f>
        <v>95796</v>
      </c>
      <c r="W21" s="2785"/>
      <c r="X21" s="2792">
        <v>0</v>
      </c>
      <c r="Y21" s="2792"/>
      <c r="Z21" s="2792">
        <v>678</v>
      </c>
      <c r="AA21" s="2793"/>
      <c r="AB21" s="1114">
        <f t="shared" si="3"/>
        <v>39127032</v>
      </c>
      <c r="AC21" s="1115">
        <f>G21+T21-N21+H49</f>
        <v>18150651</v>
      </c>
      <c r="AD21" s="1116">
        <f>I21+V21-O21</f>
        <v>245040</v>
      </c>
      <c r="AE21" s="1117">
        <f>K21+X21-P21-G49</f>
        <v>20731341</v>
      </c>
      <c r="AF21" s="1118">
        <f>L21+Z21-Q21</f>
        <v>0</v>
      </c>
      <c r="AG21" s="1075" t="s">
        <v>608</v>
      </c>
      <c r="AH21" s="1076" t="s">
        <v>609</v>
      </c>
      <c r="AI21" s="1076" t="s">
        <v>610</v>
      </c>
      <c r="AJ21" s="1082" t="s">
        <v>869</v>
      </c>
      <c r="AK21" s="634" t="s">
        <v>747</v>
      </c>
      <c r="AL21" s="329" t="s">
        <v>748</v>
      </c>
      <c r="AM21" s="2796"/>
      <c r="AN21" s="2800"/>
      <c r="AO21" s="2795"/>
      <c r="AP21" s="2794"/>
      <c r="AQ21" s="183"/>
      <c r="AR21" s="183"/>
      <c r="AS21" s="183"/>
      <c r="AT21" s="183"/>
      <c r="AU21" s="183"/>
      <c r="AV21" s="183"/>
      <c r="AW21" s="183"/>
      <c r="AX21" s="81"/>
      <c r="AY21" s="81"/>
      <c r="AZ21" s="81"/>
      <c r="BA21" s="81"/>
      <c r="BB21" s="81"/>
      <c r="BC21" s="81"/>
      <c r="BD21" s="81"/>
      <c r="BE21" s="81"/>
      <c r="BF21" s="81"/>
      <c r="BG21" s="81"/>
    </row>
    <row r="22" spans="1:59" s="9" customFormat="1" ht="21.75" customHeight="1" x14ac:dyDescent="0.3">
      <c r="A22" s="1109" t="s">
        <v>585</v>
      </c>
      <c r="B22" s="2834" t="s">
        <v>493</v>
      </c>
      <c r="C22" s="2834"/>
      <c r="D22" s="2834"/>
      <c r="E22" s="1110"/>
      <c r="F22" s="1111">
        <f t="shared" si="2"/>
        <v>0</v>
      </c>
      <c r="G22" s="2645">
        <f>G23-G24</f>
        <v>0</v>
      </c>
      <c r="H22" s="2646"/>
      <c r="I22" s="2645">
        <f>I23-I24</f>
        <v>0</v>
      </c>
      <c r="J22" s="2646"/>
      <c r="K22" s="1120">
        <f>K23-K24</f>
        <v>0</v>
      </c>
      <c r="L22" s="1171">
        <f>L23-L24</f>
        <v>0</v>
      </c>
      <c r="M22" s="1122" t="s">
        <v>296</v>
      </c>
      <c r="N22" s="1123" t="s">
        <v>296</v>
      </c>
      <c r="O22" s="1123" t="s">
        <v>296</v>
      </c>
      <c r="P22" s="1123" t="s">
        <v>296</v>
      </c>
      <c r="Q22" s="1402" t="s">
        <v>296</v>
      </c>
      <c r="R22" s="2786" t="s">
        <v>296</v>
      </c>
      <c r="S22" s="2784"/>
      <c r="T22" s="2784" t="s">
        <v>296</v>
      </c>
      <c r="U22" s="2784"/>
      <c r="V22" s="2784" t="s">
        <v>296</v>
      </c>
      <c r="W22" s="2784"/>
      <c r="X22" s="2784" t="s">
        <v>296</v>
      </c>
      <c r="Y22" s="2784"/>
      <c r="Z22" s="2784" t="s">
        <v>296</v>
      </c>
      <c r="AA22" s="2798"/>
      <c r="AB22" s="1114">
        <f t="shared" si="3"/>
        <v>0</v>
      </c>
      <c r="AC22" s="1120">
        <f>AC23-AC24</f>
        <v>0</v>
      </c>
      <c r="AD22" s="1120">
        <f>AD23-AD24</f>
        <v>0</v>
      </c>
      <c r="AE22" s="1120">
        <f>AE23-AE24</f>
        <v>0</v>
      </c>
      <c r="AF22" s="1121">
        <f>AF23-AF24</f>
        <v>0</v>
      </c>
      <c r="AG22" s="256">
        <f>M17</f>
        <v>27308</v>
      </c>
      <c r="AH22" s="257">
        <f>O17+N17</f>
        <v>0</v>
      </c>
      <c r="AI22" s="257">
        <f>I17/1000</f>
        <v>106.60599999999999</v>
      </c>
      <c r="AJ22" s="1081">
        <f>AD17/1000+I78/1000</f>
        <v>60.872</v>
      </c>
      <c r="AK22" s="256">
        <f>'Звіт   9'!H14</f>
        <v>48408.1</v>
      </c>
      <c r="AL22" s="257">
        <f>'Звіт   9'!K14</f>
        <v>48363.199999999997</v>
      </c>
      <c r="AM22" s="2796"/>
      <c r="AN22" s="2800"/>
      <c r="AO22" s="2795"/>
      <c r="AP22" s="2794"/>
      <c r="AQ22" s="183"/>
      <c r="AR22" s="183"/>
      <c r="AS22" s="183"/>
      <c r="AT22" s="183"/>
      <c r="AU22" s="183"/>
      <c r="AV22" s="183"/>
      <c r="AW22" s="183"/>
      <c r="AX22" s="81"/>
      <c r="AY22" s="81"/>
      <c r="AZ22" s="81"/>
      <c r="BA22" s="81"/>
      <c r="BB22" s="81"/>
      <c r="BC22" s="81"/>
      <c r="BD22" s="81"/>
      <c r="BE22" s="81"/>
      <c r="BF22" s="81"/>
      <c r="BG22" s="81"/>
    </row>
    <row r="23" spans="1:59" s="9" customFormat="1" ht="40.5" customHeight="1" x14ac:dyDescent="0.3">
      <c r="A23" s="1109" t="s">
        <v>738</v>
      </c>
      <c r="B23" s="2711" t="s">
        <v>773</v>
      </c>
      <c r="C23" s="2711"/>
      <c r="D23" s="2711"/>
      <c r="E23" s="1110"/>
      <c r="F23" s="1111">
        <f t="shared" si="2"/>
        <v>0</v>
      </c>
      <c r="G23" s="2633">
        <v>0</v>
      </c>
      <c r="H23" s="2634"/>
      <c r="I23" s="2633">
        <v>0</v>
      </c>
      <c r="J23" s="2634"/>
      <c r="K23" s="1112">
        <v>0</v>
      </c>
      <c r="L23" s="1172">
        <v>0</v>
      </c>
      <c r="M23" s="1111">
        <f>N23+O23+Q23+P23</f>
        <v>0</v>
      </c>
      <c r="N23" s="1112">
        <v>0</v>
      </c>
      <c r="O23" s="1112">
        <v>0</v>
      </c>
      <c r="P23" s="1112">
        <v>0</v>
      </c>
      <c r="Q23" s="1113">
        <v>0</v>
      </c>
      <c r="R23" s="2786">
        <f>T23+V23+Z23+X23</f>
        <v>0</v>
      </c>
      <c r="S23" s="2784"/>
      <c r="T23" s="2734">
        <v>0</v>
      </c>
      <c r="U23" s="2734"/>
      <c r="V23" s="2734">
        <v>0</v>
      </c>
      <c r="W23" s="2734"/>
      <c r="X23" s="2735">
        <v>0</v>
      </c>
      <c r="Y23" s="2735"/>
      <c r="Z23" s="2734">
        <v>0</v>
      </c>
      <c r="AA23" s="2782"/>
      <c r="AB23" s="1125">
        <f t="shared" si="3"/>
        <v>0</v>
      </c>
      <c r="AC23" s="1126">
        <f>G23+N23-T23+F51</f>
        <v>0</v>
      </c>
      <c r="AD23" s="1126">
        <f>I23+O23-V23</f>
        <v>0</v>
      </c>
      <c r="AE23" s="1117">
        <f>K23+P23-X23-I51</f>
        <v>0</v>
      </c>
      <c r="AF23" s="1118">
        <f>L23+Q23-Z23</f>
        <v>0</v>
      </c>
      <c r="AG23" s="328" t="s">
        <v>535</v>
      </c>
      <c r="AH23" s="327" t="s">
        <v>535</v>
      </c>
      <c r="AI23" s="327" t="s">
        <v>535</v>
      </c>
      <c r="AJ23" s="1083" t="s">
        <v>535</v>
      </c>
      <c r="AK23" s="328" t="s">
        <v>535</v>
      </c>
      <c r="AL23" s="327" t="s">
        <v>535</v>
      </c>
      <c r="AM23" s="2796"/>
      <c r="AN23" s="2800"/>
      <c r="AO23" s="269"/>
      <c r="AP23" s="269"/>
      <c r="AQ23" s="183"/>
      <c r="AR23" s="183"/>
      <c r="AS23" s="183"/>
      <c r="AT23" s="183"/>
      <c r="AU23" s="183"/>
      <c r="AV23" s="183"/>
      <c r="AW23" s="183"/>
      <c r="AX23" s="81"/>
      <c r="AY23" s="81"/>
      <c r="AZ23" s="81"/>
      <c r="BA23" s="81"/>
      <c r="BB23" s="81"/>
      <c r="BC23" s="81"/>
      <c r="BD23" s="81"/>
      <c r="BE23" s="81"/>
      <c r="BF23" s="81"/>
      <c r="BG23" s="81"/>
    </row>
    <row r="24" spans="1:59" s="9" customFormat="1" ht="39.75" customHeight="1" thickBot="1" x14ac:dyDescent="0.35">
      <c r="A24" s="1127" t="s">
        <v>739</v>
      </c>
      <c r="B24" s="2783" t="s">
        <v>1376</v>
      </c>
      <c r="C24" s="2783"/>
      <c r="D24" s="2783"/>
      <c r="E24" s="1173"/>
      <c r="F24" s="1129">
        <f t="shared" si="2"/>
        <v>0</v>
      </c>
      <c r="G24" s="2637">
        <v>0</v>
      </c>
      <c r="H24" s="2638"/>
      <c r="I24" s="2637">
        <v>0</v>
      </c>
      <c r="J24" s="2638"/>
      <c r="K24" s="1130">
        <v>0</v>
      </c>
      <c r="L24" s="1156">
        <v>0</v>
      </c>
      <c r="M24" s="1129">
        <f>N24+O24+Q24+P24</f>
        <v>0</v>
      </c>
      <c r="N24" s="1130">
        <v>0</v>
      </c>
      <c r="O24" s="1130">
        <v>0</v>
      </c>
      <c r="P24" s="1174">
        <v>0</v>
      </c>
      <c r="Q24" s="1131">
        <v>0</v>
      </c>
      <c r="R24" s="2788">
        <f>T24+V24+Z24+X24</f>
        <v>0</v>
      </c>
      <c r="S24" s="2789"/>
      <c r="T24" s="2787">
        <v>0</v>
      </c>
      <c r="U24" s="2787"/>
      <c r="V24" s="2819">
        <v>0</v>
      </c>
      <c r="W24" s="2819"/>
      <c r="X24" s="2787">
        <v>0</v>
      </c>
      <c r="Y24" s="2787"/>
      <c r="Z24" s="2787">
        <v>0</v>
      </c>
      <c r="AA24" s="2799"/>
      <c r="AB24" s="1132">
        <f t="shared" si="3"/>
        <v>0</v>
      </c>
      <c r="AC24" s="1133">
        <f>G24+T24-N24+H52</f>
        <v>0</v>
      </c>
      <c r="AD24" s="1133">
        <f>I24+V24-O24</f>
        <v>0</v>
      </c>
      <c r="AE24" s="1134">
        <f>K24+X24-P24-G52</f>
        <v>0</v>
      </c>
      <c r="AF24" s="1135">
        <f>L24+Z24-Q24</f>
        <v>0</v>
      </c>
      <c r="AG24" s="1077">
        <f t="shared" ref="AG24:AL24" si="4">AG22-AG20</f>
        <v>0</v>
      </c>
      <c r="AH24" s="1072">
        <f t="shared" si="4"/>
        <v>0</v>
      </c>
      <c r="AI24" s="1072">
        <f t="shared" si="4"/>
        <v>6.0000000000002274E-3</v>
      </c>
      <c r="AJ24" s="1084">
        <f t="shared" si="4"/>
        <v>-2.7999999999998693E-2</v>
      </c>
      <c r="AK24" s="1077">
        <f t="shared" si="4"/>
        <v>8.0000000016298145E-3</v>
      </c>
      <c r="AL24" s="1072">
        <f t="shared" si="4"/>
        <v>3.9999999993597157E-2</v>
      </c>
      <c r="AM24" s="2801"/>
      <c r="AN24" s="2802"/>
      <c r="AO24" s="321"/>
      <c r="AP24" s="316"/>
      <c r="AQ24" s="183"/>
      <c r="AR24" s="183"/>
      <c r="AS24" s="183"/>
      <c r="AT24" s="183"/>
      <c r="AU24" s="183"/>
      <c r="AV24" s="183"/>
      <c r="AW24" s="183"/>
      <c r="AX24" s="81"/>
      <c r="AY24" s="81"/>
      <c r="AZ24" s="81"/>
      <c r="BA24" s="81"/>
      <c r="BB24" s="81"/>
      <c r="BC24" s="81"/>
      <c r="BD24" s="81"/>
      <c r="BE24" s="81"/>
      <c r="BF24" s="81"/>
      <c r="BG24" s="81"/>
    </row>
    <row r="25" spans="1:59" s="137" customFormat="1" ht="12.6" customHeight="1" thickBot="1" x14ac:dyDescent="0.35">
      <c r="A25" s="1136"/>
      <c r="B25" s="1137"/>
      <c r="C25" s="1137"/>
      <c r="D25" s="1137"/>
      <c r="E25" s="1175"/>
      <c r="F25" s="1139"/>
      <c r="G25" s="1140"/>
      <c r="H25" s="1140"/>
      <c r="I25" s="1140"/>
      <c r="J25" s="1140"/>
      <c r="K25" s="1140"/>
      <c r="L25" s="1141"/>
      <c r="M25" s="1139"/>
      <c r="N25" s="1140"/>
      <c r="O25" s="1140"/>
      <c r="P25" s="1140"/>
      <c r="Q25" s="1141"/>
      <c r="R25" s="1139"/>
      <c r="S25" s="1164"/>
      <c r="T25" s="1140"/>
      <c r="U25" s="1140"/>
      <c r="V25" s="1140"/>
      <c r="W25" s="1140"/>
      <c r="X25" s="1140"/>
      <c r="Y25" s="1140"/>
      <c r="Z25" s="1140"/>
      <c r="AA25" s="1141"/>
      <c r="AB25" s="1147"/>
      <c r="AC25" s="1147"/>
      <c r="AD25" s="1147"/>
      <c r="AE25" s="1147"/>
      <c r="AF25" s="1176"/>
      <c r="AG25" s="323"/>
      <c r="AH25" s="323"/>
      <c r="AI25" s="323"/>
      <c r="AJ25" s="323"/>
      <c r="AK25" s="323"/>
      <c r="AL25" s="323"/>
      <c r="AM25" s="324"/>
      <c r="AN25" s="324"/>
      <c r="AO25" s="325"/>
      <c r="AP25" s="326"/>
      <c r="AQ25" s="185"/>
      <c r="AR25" s="185"/>
      <c r="AS25" s="185"/>
      <c r="AT25" s="185"/>
      <c r="AU25" s="185"/>
      <c r="AV25" s="185"/>
      <c r="AW25" s="185"/>
      <c r="AX25" s="185"/>
      <c r="AY25" s="185"/>
      <c r="AZ25" s="185"/>
      <c r="BA25" s="185"/>
      <c r="BB25" s="185"/>
      <c r="BC25" s="185"/>
      <c r="BD25" s="185"/>
      <c r="BE25" s="185"/>
      <c r="BF25" s="185"/>
      <c r="BG25" s="185"/>
    </row>
    <row r="26" spans="1:59" s="9" customFormat="1" ht="22.35" customHeight="1" thickBot="1" x14ac:dyDescent="0.35">
      <c r="A26" s="2689" t="s">
        <v>462</v>
      </c>
      <c r="B26" s="2647" t="s">
        <v>47</v>
      </c>
      <c r="C26" s="2648"/>
      <c r="D26" s="2649"/>
      <c r="E26" s="2721">
        <v>1100</v>
      </c>
      <c r="F26" s="1100">
        <f>I26+L26+K26</f>
        <v>28613112</v>
      </c>
      <c r="G26" s="2643" t="s">
        <v>296</v>
      </c>
      <c r="H26" s="2644"/>
      <c r="I26" s="2658">
        <v>27030700</v>
      </c>
      <c r="J26" s="2659"/>
      <c r="K26" s="1177">
        <v>0</v>
      </c>
      <c r="L26" s="1177">
        <v>1582412</v>
      </c>
      <c r="M26" s="1178">
        <f>O26+Q26</f>
        <v>10833691</v>
      </c>
      <c r="N26" s="1104" t="s">
        <v>296</v>
      </c>
      <c r="O26" s="1179">
        <v>9607089</v>
      </c>
      <c r="P26" s="1180" t="s">
        <v>296</v>
      </c>
      <c r="Q26" s="1181">
        <v>1226602</v>
      </c>
      <c r="R26" s="2817">
        <f>V26+Z26+X26</f>
        <v>7981282</v>
      </c>
      <c r="S26" s="2818"/>
      <c r="T26" s="2742" t="s">
        <v>296</v>
      </c>
      <c r="U26" s="2742"/>
      <c r="V26" s="2700">
        <v>6192704</v>
      </c>
      <c r="W26" s="2700"/>
      <c r="X26" s="2658">
        <v>0</v>
      </c>
      <c r="Y26" s="2659"/>
      <c r="Z26" s="2658">
        <v>1788578</v>
      </c>
      <c r="AA26" s="2736"/>
      <c r="AB26" s="1341">
        <f>AD26+AF26+AE26</f>
        <v>31465521</v>
      </c>
      <c r="AC26" s="1182" t="s">
        <v>296</v>
      </c>
      <c r="AD26" s="1183">
        <f>I26+O26-V26</f>
        <v>30445085</v>
      </c>
      <c r="AE26" s="1160">
        <f>K26-X26</f>
        <v>0</v>
      </c>
      <c r="AF26" s="1184">
        <f>L26+Q26-Z26</f>
        <v>1020436</v>
      </c>
      <c r="AM26" s="317"/>
      <c r="AN26" s="317"/>
      <c r="AQ26" s="183"/>
      <c r="AR26" s="183"/>
      <c r="AS26" s="183"/>
      <c r="AT26" s="183"/>
      <c r="AU26" s="183"/>
      <c r="AV26" s="183"/>
      <c r="AW26" s="183"/>
      <c r="AX26" s="81"/>
      <c r="AY26" s="81"/>
      <c r="AZ26" s="81"/>
      <c r="BA26" s="81"/>
      <c r="BB26" s="81"/>
      <c r="BC26" s="81"/>
      <c r="BD26" s="81"/>
      <c r="BE26" s="81"/>
      <c r="BF26" s="81"/>
      <c r="BG26" s="81"/>
    </row>
    <row r="27" spans="1:59" s="9" customFormat="1" ht="48" customHeight="1" thickBot="1" x14ac:dyDescent="0.3">
      <c r="A27" s="2690"/>
      <c r="B27" s="2650"/>
      <c r="C27" s="2651"/>
      <c r="D27" s="2652"/>
      <c r="E27" s="2722"/>
      <c r="F27" s="2666" t="s">
        <v>296</v>
      </c>
      <c r="G27" s="2667"/>
      <c r="H27" s="2667"/>
      <c r="I27" s="2667"/>
      <c r="J27" s="2667"/>
      <c r="K27" s="2667"/>
      <c r="L27" s="2667"/>
      <c r="M27" s="2667"/>
      <c r="N27" s="2667"/>
      <c r="O27" s="2667"/>
      <c r="P27" s="2667"/>
      <c r="Q27" s="2667"/>
      <c r="R27" s="1185" t="s">
        <v>860</v>
      </c>
      <c r="S27" s="1186" t="s">
        <v>861</v>
      </c>
      <c r="T27" s="2743"/>
      <c r="U27" s="2743"/>
      <c r="V27" s="1187" t="s">
        <v>860</v>
      </c>
      <c r="W27" s="1186" t="s">
        <v>861</v>
      </c>
      <c r="X27" s="1187" t="s">
        <v>860</v>
      </c>
      <c r="Y27" s="1186" t="s">
        <v>861</v>
      </c>
      <c r="Z27" s="1187" t="s">
        <v>860</v>
      </c>
      <c r="AA27" s="1188" t="s">
        <v>861</v>
      </c>
      <c r="AB27" s="2695" t="s">
        <v>862</v>
      </c>
      <c r="AC27" s="2696"/>
      <c r="AD27" s="1189">
        <f>AD26+W28</f>
        <v>30445085</v>
      </c>
      <c r="AE27" s="1194"/>
      <c r="AM27" s="317"/>
      <c r="AN27" s="317"/>
      <c r="AQ27" s="183"/>
      <c r="AR27" s="183"/>
      <c r="AS27" s="183"/>
      <c r="AT27" s="183"/>
      <c r="AU27" s="183"/>
      <c r="AV27" s="183"/>
      <c r="AW27" s="183"/>
      <c r="AX27" s="81"/>
      <c r="AY27" s="81"/>
      <c r="AZ27" s="81"/>
      <c r="BA27" s="81"/>
      <c r="BB27" s="81"/>
      <c r="BC27" s="81"/>
      <c r="BD27" s="81"/>
      <c r="BE27" s="81"/>
      <c r="BF27" s="81"/>
      <c r="BG27" s="81"/>
    </row>
    <row r="28" spans="1:59" s="9" customFormat="1" ht="22.35" customHeight="1" thickBot="1" x14ac:dyDescent="0.35">
      <c r="A28" s="2691"/>
      <c r="B28" s="2653"/>
      <c r="C28" s="2654"/>
      <c r="D28" s="2655"/>
      <c r="E28" s="2723"/>
      <c r="F28" s="2668"/>
      <c r="G28" s="2669"/>
      <c r="H28" s="2669"/>
      <c r="I28" s="2669"/>
      <c r="J28" s="2669"/>
      <c r="K28" s="2669"/>
      <c r="L28" s="2669"/>
      <c r="M28" s="2669"/>
      <c r="N28" s="2669"/>
      <c r="O28" s="2669"/>
      <c r="P28" s="2669"/>
      <c r="Q28" s="2669"/>
      <c r="R28" s="1190">
        <f>V28+X28+Z28</f>
        <v>0</v>
      </c>
      <c r="S28" s="1191">
        <f>W28+Y28+AA28</f>
        <v>0</v>
      </c>
      <c r="T28" s="2743"/>
      <c r="U28" s="2743"/>
      <c r="V28" s="1192">
        <v>0</v>
      </c>
      <c r="W28" s="1192">
        <v>0</v>
      </c>
      <c r="X28" s="1192">
        <v>0</v>
      </c>
      <c r="Y28" s="1192">
        <v>0</v>
      </c>
      <c r="Z28" s="1192">
        <v>0</v>
      </c>
      <c r="AA28" s="1193">
        <v>0</v>
      </c>
      <c r="AB28" s="1194"/>
      <c r="AC28" s="1194"/>
      <c r="AD28" s="1194"/>
      <c r="AE28" s="1194"/>
      <c r="AF28" s="1194"/>
      <c r="AG28" s="383"/>
      <c r="AM28" s="317"/>
      <c r="AN28" s="317"/>
      <c r="AQ28" s="183"/>
      <c r="AR28" s="183"/>
      <c r="AS28" s="183"/>
      <c r="AT28" s="183"/>
      <c r="AU28" s="183"/>
      <c r="AV28" s="183"/>
      <c r="AW28" s="183"/>
      <c r="AX28" s="81"/>
      <c r="AY28" s="81"/>
      <c r="AZ28" s="81"/>
      <c r="BA28" s="81"/>
      <c r="BB28" s="81"/>
      <c r="BC28" s="81"/>
      <c r="BD28" s="81"/>
      <c r="BE28" s="81"/>
      <c r="BF28" s="81"/>
      <c r="BG28" s="81"/>
    </row>
    <row r="29" spans="1:59" s="31" customFormat="1" ht="33" customHeight="1" thickBot="1" x14ac:dyDescent="0.4">
      <c r="A29" s="2712" t="s">
        <v>611</v>
      </c>
      <c r="B29" s="2713"/>
      <c r="C29" s="2713"/>
      <c r="D29" s="2713"/>
      <c r="E29" s="2714"/>
      <c r="F29" s="2715" t="s">
        <v>612</v>
      </c>
      <c r="G29" s="2716"/>
      <c r="H29" s="2716"/>
      <c r="I29" s="2716"/>
      <c r="J29" s="2663"/>
      <c r="K29" s="2718" t="s">
        <v>613</v>
      </c>
      <c r="L29" s="2670" t="s">
        <v>614</v>
      </c>
      <c r="M29" s="2663" t="s">
        <v>753</v>
      </c>
      <c r="N29" s="2718"/>
      <c r="O29" s="2718"/>
      <c r="P29" s="2718"/>
      <c r="Q29" s="2662"/>
      <c r="R29" s="2679" t="s">
        <v>813</v>
      </c>
      <c r="S29" s="2680"/>
      <c r="T29" s="2680"/>
      <c r="U29" s="2680"/>
      <c r="V29" s="2680"/>
      <c r="W29" s="2680"/>
      <c r="X29" s="2680"/>
      <c r="Y29" s="2680"/>
      <c r="Z29" s="2680"/>
      <c r="AA29" s="2681"/>
      <c r="AB29" s="2682" t="s">
        <v>615</v>
      </c>
      <c r="AC29" s="2683"/>
      <c r="AD29" s="2684"/>
      <c r="AE29" s="2857" t="s">
        <v>1240</v>
      </c>
      <c r="AF29" s="2858"/>
      <c r="AG29" s="383"/>
      <c r="AH29" s="343"/>
      <c r="AI29" s="343"/>
      <c r="AJ29" s="343"/>
      <c r="AK29" s="343"/>
      <c r="AL29" s="343"/>
      <c r="AM29" s="343"/>
      <c r="AN29" s="343"/>
      <c r="AO29" s="185"/>
      <c r="AP29" s="185"/>
      <c r="AQ29" s="185"/>
      <c r="AR29" s="185"/>
      <c r="AS29" s="185"/>
      <c r="AT29" s="185"/>
      <c r="AU29" s="185"/>
      <c r="AV29" s="185"/>
      <c r="AW29" s="185"/>
      <c r="AX29" s="95"/>
      <c r="AY29" s="95"/>
      <c r="AZ29" s="95"/>
      <c r="BA29" s="95"/>
      <c r="BB29" s="95"/>
      <c r="BC29" s="95"/>
      <c r="BD29" s="95"/>
      <c r="BE29" s="95"/>
      <c r="BF29" s="95"/>
      <c r="BG29" s="95"/>
    </row>
    <row r="30" spans="1:59" s="31" customFormat="1" ht="67.5" customHeight="1" x14ac:dyDescent="0.35">
      <c r="A30" s="337"/>
      <c r="B30" s="2719" t="s">
        <v>754</v>
      </c>
      <c r="C30" s="2719"/>
      <c r="D30" s="2719"/>
      <c r="E30" s="2720"/>
      <c r="F30" s="1195" t="s">
        <v>751</v>
      </c>
      <c r="G30" s="2664"/>
      <c r="H30" s="2665"/>
      <c r="I30" s="2662" t="s">
        <v>752</v>
      </c>
      <c r="J30" s="2663"/>
      <c r="K30" s="2718"/>
      <c r="L30" s="2670"/>
      <c r="M30" s="1196" t="s">
        <v>681</v>
      </c>
      <c r="N30" s="1197"/>
      <c r="O30" s="1198" t="s">
        <v>682</v>
      </c>
      <c r="P30" s="1199" t="s">
        <v>616</v>
      </c>
      <c r="Q30" s="1200" t="s">
        <v>756</v>
      </c>
      <c r="R30" s="2865" t="s">
        <v>261</v>
      </c>
      <c r="S30" s="2718"/>
      <c r="T30" s="2697"/>
      <c r="U30" s="2697"/>
      <c r="V30" s="1198" t="s">
        <v>857</v>
      </c>
      <c r="W30" s="1198" t="s">
        <v>856</v>
      </c>
      <c r="X30" s="2733" t="s">
        <v>859</v>
      </c>
      <c r="Y30" s="2733"/>
      <c r="Z30" s="2718" t="s">
        <v>858</v>
      </c>
      <c r="AA30" s="2741"/>
      <c r="AB30" s="1342" t="s">
        <v>751</v>
      </c>
      <c r="AC30" s="1201"/>
      <c r="AD30" s="1202" t="s">
        <v>752</v>
      </c>
      <c r="AE30" s="2859"/>
      <c r="AF30" s="2860"/>
      <c r="AG30" s="383"/>
      <c r="AH30" s="343"/>
      <c r="AI30" s="343"/>
      <c r="AJ30" s="343"/>
      <c r="AK30" s="343"/>
      <c r="AL30" s="343"/>
      <c r="AM30" s="343"/>
      <c r="AN30" s="343"/>
      <c r="AO30" s="185"/>
      <c r="AP30" s="185"/>
      <c r="AQ30" s="185"/>
      <c r="AR30" s="185"/>
      <c r="AS30" s="185"/>
      <c r="AT30" s="185"/>
      <c r="AU30" s="185"/>
      <c r="AV30" s="185"/>
      <c r="AW30" s="185"/>
      <c r="AX30" s="95"/>
      <c r="AY30" s="95"/>
      <c r="AZ30" s="95"/>
      <c r="BA30" s="95"/>
      <c r="BB30" s="95"/>
      <c r="BC30" s="95"/>
      <c r="BD30" s="95"/>
      <c r="BE30" s="95"/>
      <c r="BF30" s="95"/>
      <c r="BG30" s="95"/>
    </row>
    <row r="31" spans="1:59" s="31" customFormat="1" ht="26.45" customHeight="1" thickBot="1" x14ac:dyDescent="0.4">
      <c r="A31" s="1203"/>
      <c r="B31" s="2704" t="s">
        <v>755</v>
      </c>
      <c r="C31" s="2704"/>
      <c r="D31" s="2704"/>
      <c r="E31" s="2705"/>
      <c r="F31" s="1204">
        <f>'Звіт   9'!H27</f>
        <v>28613.1</v>
      </c>
      <c r="G31" s="2693" t="s">
        <v>296</v>
      </c>
      <c r="H31" s="2694"/>
      <c r="I31" s="2635">
        <f>'Звіт   9'!H66</f>
        <v>27030.7</v>
      </c>
      <c r="J31" s="2636"/>
      <c r="K31" s="1205">
        <f>K26/1000</f>
        <v>0</v>
      </c>
      <c r="L31" s="1206">
        <f>F31-I31-K31</f>
        <v>1582.3999999999978</v>
      </c>
      <c r="M31" s="1114">
        <f>'Звіт 1,2,3'!G29/1000</f>
        <v>10833.691000000001</v>
      </c>
      <c r="N31" s="1207" t="s">
        <v>296</v>
      </c>
      <c r="O31" s="1205">
        <f>SUM('Звіт 1,2,3'!I29:N29)/1000</f>
        <v>9607.0889999999999</v>
      </c>
      <c r="P31" s="1207" t="s">
        <v>296</v>
      </c>
      <c r="Q31" s="1208">
        <f>('Звіт 1,2,3'!H29+'Звіт 1,2,3'!O29)/1000</f>
        <v>1226.6020000000001</v>
      </c>
      <c r="R31" s="2753">
        <f>V31+W31+X31+Z31</f>
        <v>7981.2819999999992</v>
      </c>
      <c r="S31" s="2737"/>
      <c r="T31" s="2698" t="s">
        <v>296</v>
      </c>
      <c r="U31" s="2698"/>
      <c r="V31" s="1999">
        <f>('Звіт   4,5,6'!O43+'Звіт   4,5,6'!O52+'Звіт   4,5,6'!O51+'Звіт   4,5,6'!O53+'Звіт   4,5,6'!O54+'Звіт   4,5,6'!O56+'Звіт   4,5,6'!O57+'Звіт   4,5,6'!O50+'Звіт   4,5,6'!O65)/1000</f>
        <v>6192.7039999999997</v>
      </c>
      <c r="W31" s="1209">
        <f>I76/1000</f>
        <v>0</v>
      </c>
      <c r="X31" s="2701">
        <f>('Звіт   4,5,6'!V42+'Звіт   4,5,6'!X42+'Звіт   4,5,6'!AD42+'Звіт   4,5,6'!Z42)/1000</f>
        <v>1788.578</v>
      </c>
      <c r="Y31" s="2701"/>
      <c r="Z31" s="2737">
        <f>('Звіт   4,5,6'!H30+'Звіт   4,5,6'!H31)/1000</f>
        <v>0</v>
      </c>
      <c r="AA31" s="2738"/>
      <c r="AB31" s="1114">
        <f>'Звіт   9'!K27</f>
        <v>31465.5</v>
      </c>
      <c r="AC31" s="1210" t="s">
        <v>296</v>
      </c>
      <c r="AD31" s="1211">
        <f>'Звіт   9'!K66</f>
        <v>30445.1</v>
      </c>
      <c r="AE31" s="2861"/>
      <c r="AF31" s="2862"/>
      <c r="AG31" s="383"/>
      <c r="AH31" s="343"/>
      <c r="AI31" s="343"/>
      <c r="AJ31" s="343"/>
      <c r="AK31" s="343"/>
      <c r="AL31" s="343"/>
      <c r="AM31" s="343"/>
      <c r="AN31" s="343"/>
      <c r="AO31" s="185"/>
      <c r="AP31" s="185"/>
      <c r="AQ31" s="185"/>
      <c r="AR31" s="185"/>
      <c r="AS31" s="185"/>
      <c r="AT31" s="185"/>
      <c r="AU31" s="185"/>
      <c r="AV31" s="185"/>
      <c r="AW31" s="185"/>
      <c r="AX31" s="95"/>
      <c r="AY31" s="95"/>
      <c r="AZ31" s="95"/>
      <c r="BA31" s="95"/>
      <c r="BB31" s="95"/>
      <c r="BC31" s="95"/>
      <c r="BD31" s="95"/>
      <c r="BE31" s="95"/>
      <c r="BF31" s="95"/>
      <c r="BG31" s="95"/>
    </row>
    <row r="32" spans="1:59" s="31" customFormat="1" ht="25.5" customHeight="1" thickBot="1" x14ac:dyDescent="0.4">
      <c r="A32" s="2706" t="s">
        <v>812</v>
      </c>
      <c r="B32" s="2707"/>
      <c r="C32" s="2707"/>
      <c r="D32" s="2707"/>
      <c r="E32" s="2707"/>
      <c r="F32" s="1212">
        <f>F31-F26/1000</f>
        <v>-1.2000000002444722E-2</v>
      </c>
      <c r="G32" s="2656" t="s">
        <v>296</v>
      </c>
      <c r="H32" s="2657"/>
      <c r="I32" s="2656">
        <f>I31-I26/1000</f>
        <v>0</v>
      </c>
      <c r="J32" s="2657"/>
      <c r="K32" s="1213">
        <f>K31-K26/1000</f>
        <v>0</v>
      </c>
      <c r="L32" s="1214">
        <f>L31-L26/1000</f>
        <v>-1.2000000002217348E-2</v>
      </c>
      <c r="M32" s="1215">
        <f>M31-M26/1000</f>
        <v>0</v>
      </c>
      <c r="N32" s="1216" t="s">
        <v>296</v>
      </c>
      <c r="O32" s="1213">
        <f>O31-O26/1000</f>
        <v>0</v>
      </c>
      <c r="P32" s="1216" t="s">
        <v>296</v>
      </c>
      <c r="Q32" s="1217">
        <f>Q31-Q26/1000</f>
        <v>0</v>
      </c>
      <c r="R32" s="2767">
        <f>R31-R26/1000+R28/1000+S28/1000</f>
        <v>-9.0949470177292824E-13</v>
      </c>
      <c r="S32" s="2699"/>
      <c r="T32" s="2699" t="s">
        <v>296</v>
      </c>
      <c r="U32" s="2699"/>
      <c r="V32" s="2699">
        <f>V31-V26/1000+V28/1000+W28/1000+W31</f>
        <v>0</v>
      </c>
      <c r="W32" s="2699"/>
      <c r="X32" s="2739">
        <f>X31-(X26+Z26)/1000+(X28+Y28+Z28+AA28)/1000+Z31</f>
        <v>0</v>
      </c>
      <c r="Y32" s="2739"/>
      <c r="Z32" s="2739"/>
      <c r="AA32" s="2740"/>
      <c r="AB32" s="1343">
        <f>AB31-AB26/1000</f>
        <v>-2.1000000000640284E-2</v>
      </c>
      <c r="AC32" s="1210" t="s">
        <v>296</v>
      </c>
      <c r="AD32" s="2000">
        <f>AD31-AD27/1000</f>
        <v>1.4999999999417923E-2</v>
      </c>
      <c r="AE32" s="2685" t="str">
        <f>IF('Звіт   4,5,6'!E39=0,"Дані не введено",IF(AND(AB32&lt;=1,AB32&gt;=-1,AD32&lt;=1,AD32&gt;=-1,R32&lt;=1,R32&gt;=-1,V32&lt;=1,V32&gt;=-1,X32&lt;=1,X32&gt;=-1,M32&lt;=1,M32&gt;=-1,O32&lt;=1,O32&gt;=-1,F32&lt;=1,F32&gt;=-1,I32&lt;=1,I32&gt;=-1,AD34&lt;=1,AD34&gt;=-1),"ПРАВДА","ПОМИЛКА"))</f>
        <v>ПРАВДА</v>
      </c>
      <c r="AF32" s="2686"/>
      <c r="AG32" s="383"/>
      <c r="AH32" s="343"/>
      <c r="AI32" s="343"/>
      <c r="AJ32" s="343"/>
      <c r="AK32" s="343"/>
      <c r="AL32" s="343"/>
      <c r="AM32" s="343"/>
      <c r="AN32" s="343"/>
      <c r="AO32" s="185"/>
      <c r="AP32" s="185"/>
      <c r="AQ32" s="185"/>
      <c r="AR32" s="185"/>
      <c r="AS32" s="185"/>
      <c r="AT32" s="185"/>
      <c r="AU32" s="185"/>
      <c r="AV32" s="185"/>
      <c r="AW32" s="185"/>
      <c r="AX32" s="95"/>
      <c r="AY32" s="95"/>
      <c r="AZ32" s="95"/>
      <c r="BA32" s="95"/>
      <c r="BB32" s="95"/>
      <c r="BC32" s="95"/>
      <c r="BD32" s="95"/>
      <c r="BE32" s="95"/>
      <c r="BF32" s="95"/>
      <c r="BG32" s="95"/>
    </row>
    <row r="33" spans="1:59" s="31" customFormat="1" ht="45" customHeight="1" x14ac:dyDescent="0.3">
      <c r="A33" s="1218" t="s">
        <v>504</v>
      </c>
      <c r="B33" s="1219"/>
      <c r="C33" s="1219"/>
      <c r="D33" s="1219"/>
      <c r="E33" s="1219"/>
      <c r="F33" s="1220"/>
      <c r="G33" s="1220"/>
      <c r="H33" s="1220"/>
      <c r="I33" s="1221"/>
      <c r="J33" s="1221"/>
      <c r="K33" s="1221"/>
      <c r="L33" s="1344"/>
      <c r="M33" s="1345"/>
      <c r="N33" s="1346"/>
      <c r="O33" s="1345"/>
      <c r="P33" s="1346"/>
      <c r="Q33" s="1345"/>
      <c r="R33" s="1347"/>
      <c r="S33" s="1347"/>
      <c r="T33" s="1347"/>
      <c r="U33" s="1347"/>
      <c r="V33" s="1347"/>
      <c r="W33" s="1347"/>
      <c r="X33" s="1348"/>
      <c r="Y33" s="1348"/>
      <c r="Z33" s="1347"/>
      <c r="AA33" s="1347"/>
      <c r="AB33" s="2748" t="s">
        <v>872</v>
      </c>
      <c r="AC33" s="2749"/>
      <c r="AD33" s="1222">
        <f>I31+O31-V31-W31-V28/1000</f>
        <v>30445.085000000006</v>
      </c>
      <c r="AE33" s="1223"/>
      <c r="AF33" s="1223"/>
      <c r="AH33" s="185"/>
      <c r="AI33" s="185"/>
      <c r="AJ33" s="185"/>
      <c r="AK33" s="185"/>
      <c r="AL33" s="185"/>
      <c r="AM33" s="185"/>
      <c r="AN33" s="185"/>
      <c r="AO33" s="185"/>
      <c r="AP33" s="185"/>
      <c r="AQ33" s="185"/>
      <c r="AR33" s="185"/>
      <c r="AS33" s="185"/>
      <c r="AT33" s="185"/>
      <c r="AU33" s="185"/>
      <c r="AV33" s="185"/>
      <c r="AW33" s="185"/>
      <c r="AX33" s="95"/>
      <c r="AY33" s="95"/>
      <c r="AZ33" s="95"/>
      <c r="BA33" s="95"/>
      <c r="BB33" s="95"/>
      <c r="BC33" s="95"/>
      <c r="BD33" s="95"/>
      <c r="BE33" s="95"/>
      <c r="BF33" s="95"/>
      <c r="BG33" s="95"/>
    </row>
    <row r="34" spans="1:59" s="31" customFormat="1" ht="22.5" customHeight="1" thickBot="1" x14ac:dyDescent="0.35">
      <c r="A34" s="1224" t="s">
        <v>736</v>
      </c>
      <c r="B34" s="1219"/>
      <c r="C34" s="1219"/>
      <c r="D34" s="1219"/>
      <c r="E34" s="1219"/>
      <c r="F34" s="1220"/>
      <c r="G34" s="1220"/>
      <c r="H34" s="1220"/>
      <c r="I34" s="1221"/>
      <c r="J34" s="1221"/>
      <c r="K34" s="1221"/>
      <c r="L34" s="1329"/>
      <c r="M34" s="1330"/>
      <c r="N34" s="1331"/>
      <c r="O34" s="1330"/>
      <c r="P34" s="1331"/>
      <c r="Q34" s="1330"/>
      <c r="R34" s="1349"/>
      <c r="S34" s="1349"/>
      <c r="T34" s="1349"/>
      <c r="U34" s="1349"/>
      <c r="V34" s="1349"/>
      <c r="W34" s="1349"/>
      <c r="X34" s="1349"/>
      <c r="Y34" s="1349"/>
      <c r="Z34" s="1349"/>
      <c r="AA34" s="1349"/>
      <c r="AB34" s="2750"/>
      <c r="AC34" s="2751"/>
      <c r="AD34" s="1225">
        <f>AD31-AD33</f>
        <v>1.4999999992141966E-2</v>
      </c>
      <c r="AE34" s="1226"/>
      <c r="AF34" s="1227"/>
      <c r="AH34" s="185"/>
      <c r="AI34" s="185"/>
      <c r="AJ34" s="185"/>
      <c r="AK34" s="185"/>
      <c r="AL34" s="185"/>
      <c r="AM34" s="185"/>
      <c r="AN34" s="185"/>
      <c r="AO34" s="185"/>
      <c r="AP34" s="185"/>
      <c r="AQ34" s="185"/>
      <c r="AR34" s="185"/>
      <c r="AS34" s="185"/>
      <c r="AT34" s="185"/>
      <c r="AU34" s="185"/>
      <c r="AV34" s="185"/>
      <c r="AW34" s="185"/>
      <c r="AX34" s="95"/>
      <c r="AY34" s="95"/>
      <c r="AZ34" s="95"/>
      <c r="BA34" s="95"/>
      <c r="BB34" s="95"/>
      <c r="BC34" s="95"/>
      <c r="BD34" s="95"/>
      <c r="BE34" s="95"/>
      <c r="BF34" s="95"/>
      <c r="BG34" s="95"/>
    </row>
    <row r="35" spans="1:59" s="31" customFormat="1" ht="22.5" customHeight="1" x14ac:dyDescent="0.35">
      <c r="A35" s="258"/>
      <c r="B35" s="260"/>
      <c r="C35" s="260"/>
      <c r="D35" s="260"/>
      <c r="E35" s="260"/>
      <c r="F35" s="261"/>
      <c r="G35" s="261"/>
      <c r="H35" s="261"/>
      <c r="I35" s="259"/>
      <c r="J35" s="259"/>
      <c r="K35" s="259"/>
      <c r="L35" s="1327"/>
      <c r="M35" s="1332"/>
      <c r="N35" s="1333"/>
      <c r="O35" s="1332"/>
      <c r="P35" s="1333"/>
      <c r="Q35" s="1334"/>
      <c r="R35" s="1335"/>
      <c r="S35" s="1336"/>
      <c r="T35" s="1336"/>
      <c r="U35" s="1336"/>
      <c r="V35" s="1336"/>
      <c r="W35" s="1336"/>
      <c r="X35" s="1336"/>
      <c r="Y35" s="1336"/>
      <c r="Z35" s="1336"/>
      <c r="AA35" s="1336"/>
      <c r="AB35" s="615"/>
      <c r="AC35" s="615"/>
      <c r="AD35" s="616"/>
      <c r="AE35" s="322"/>
      <c r="AF35" s="382"/>
      <c r="AH35" s="185"/>
      <c r="AI35" s="185"/>
      <c r="AJ35" s="185"/>
      <c r="AK35" s="185"/>
      <c r="AL35" s="185"/>
      <c r="AM35" s="185"/>
      <c r="AN35" s="185"/>
      <c r="AO35" s="185"/>
      <c r="AP35" s="185"/>
      <c r="AQ35" s="185"/>
      <c r="AR35" s="185"/>
      <c r="AS35" s="185"/>
      <c r="AT35" s="185"/>
      <c r="AU35" s="185"/>
      <c r="AV35" s="185"/>
      <c r="AW35" s="185"/>
      <c r="AX35" s="95"/>
      <c r="AY35" s="95"/>
      <c r="AZ35" s="95"/>
      <c r="BA35" s="95"/>
      <c r="BB35" s="95"/>
      <c r="BC35" s="95"/>
      <c r="BD35" s="95"/>
      <c r="BE35" s="95"/>
      <c r="BF35" s="95"/>
      <c r="BG35" s="95"/>
    </row>
    <row r="36" spans="1:59" s="31" customFormat="1" ht="61.5" customHeight="1" x14ac:dyDescent="0.35">
      <c r="A36" s="2708" t="s">
        <v>1596</v>
      </c>
      <c r="B36" s="2708"/>
      <c r="C36" s="2708"/>
      <c r="D36" s="2708"/>
      <c r="E36" s="2708"/>
      <c r="F36" s="2708"/>
      <c r="G36" s="2708"/>
      <c r="H36" s="2708"/>
      <c r="I36" s="2708"/>
      <c r="J36" s="2708"/>
      <c r="K36" s="2708"/>
      <c r="L36" s="1337"/>
      <c r="M36" s="1337"/>
      <c r="N36" s="1337"/>
      <c r="O36" s="1337"/>
      <c r="P36" s="1337"/>
      <c r="Q36" s="1334"/>
      <c r="R36" s="1335"/>
      <c r="S36" s="1336"/>
      <c r="T36" s="1336"/>
      <c r="U36" s="1336"/>
      <c r="V36" s="1336"/>
      <c r="W36" s="1336"/>
      <c r="X36" s="1336"/>
      <c r="Y36" s="1336"/>
      <c r="Z36" s="1336"/>
      <c r="AA36" s="1336"/>
      <c r="AB36" s="615"/>
      <c r="AC36" s="615"/>
      <c r="AD36" s="616"/>
      <c r="AE36" s="322"/>
      <c r="AF36" s="382"/>
      <c r="AH36" s="185"/>
      <c r="AI36" s="185"/>
      <c r="AJ36" s="185"/>
      <c r="AK36" s="185"/>
      <c r="AL36" s="185"/>
      <c r="AM36" s="185"/>
      <c r="AN36" s="185"/>
      <c r="AO36" s="185"/>
      <c r="AP36" s="185"/>
      <c r="AQ36" s="185"/>
      <c r="AR36" s="185"/>
      <c r="AS36" s="185"/>
      <c r="AT36" s="185"/>
      <c r="AU36" s="185"/>
      <c r="AV36" s="185"/>
      <c r="AW36" s="185"/>
      <c r="AX36" s="95"/>
      <c r="AY36" s="95"/>
      <c r="AZ36" s="95"/>
      <c r="BA36" s="95"/>
      <c r="BB36" s="95"/>
      <c r="BC36" s="95"/>
      <c r="BD36" s="95"/>
      <c r="BE36" s="95"/>
      <c r="BF36" s="95"/>
      <c r="BG36" s="95"/>
    </row>
    <row r="37" spans="1:59" s="31" customFormat="1" ht="22.5" customHeight="1" thickBot="1" x14ac:dyDescent="0.4">
      <c r="A37" s="612"/>
      <c r="B37" s="612"/>
      <c r="C37" s="612"/>
      <c r="D37" s="612"/>
      <c r="E37" s="612"/>
      <c r="F37" s="612"/>
      <c r="G37" s="612"/>
      <c r="H37" s="612"/>
      <c r="I37" s="612"/>
      <c r="J37" s="612"/>
      <c r="K37" s="617" t="s">
        <v>262</v>
      </c>
      <c r="L37" s="1338"/>
      <c r="M37" s="1327"/>
      <c r="N37" s="1333"/>
      <c r="O37" s="1332"/>
      <c r="P37" s="1333"/>
      <c r="Q37" s="1334"/>
      <c r="R37" s="1335"/>
      <c r="S37" s="1336"/>
      <c r="T37" s="1336"/>
      <c r="U37" s="1336"/>
      <c r="V37" s="1336"/>
      <c r="W37" s="1336"/>
      <c r="X37" s="1336"/>
      <c r="Y37" s="1336"/>
      <c r="Z37" s="1336"/>
      <c r="AA37" s="1336"/>
      <c r="AB37" s="615"/>
      <c r="AC37" s="615"/>
      <c r="AD37" s="616"/>
      <c r="AE37" s="322"/>
      <c r="AF37" s="382"/>
      <c r="AH37" s="185"/>
      <c r="AI37" s="185"/>
      <c r="AJ37" s="185"/>
      <c r="AK37" s="185"/>
      <c r="AL37" s="185"/>
      <c r="AM37" s="185"/>
      <c r="AN37" s="185"/>
      <c r="AO37" s="185"/>
      <c r="AP37" s="185"/>
      <c r="AQ37" s="185"/>
      <c r="AR37" s="185"/>
      <c r="AS37" s="185"/>
      <c r="AT37" s="185"/>
      <c r="AU37" s="185"/>
      <c r="AV37" s="185"/>
      <c r="AW37" s="185"/>
      <c r="AX37" s="95"/>
      <c r="AY37" s="95"/>
      <c r="AZ37" s="95"/>
      <c r="BA37" s="95"/>
      <c r="BB37" s="95"/>
      <c r="BC37" s="95"/>
      <c r="BD37" s="95"/>
      <c r="BE37" s="95"/>
      <c r="BF37" s="95"/>
      <c r="BG37" s="95"/>
    </row>
    <row r="38" spans="1:59" s="31" customFormat="1" ht="30.75" customHeight="1" x14ac:dyDescent="0.35">
      <c r="A38" s="2672" t="s">
        <v>38</v>
      </c>
      <c r="B38" s="2675" t="s">
        <v>488</v>
      </c>
      <c r="C38" s="2675"/>
      <c r="D38" s="2675"/>
      <c r="E38" s="2677" t="s">
        <v>447</v>
      </c>
      <c r="F38" s="2692" t="s">
        <v>445</v>
      </c>
      <c r="G38" s="2692"/>
      <c r="H38" s="2692" t="s">
        <v>446</v>
      </c>
      <c r="I38" s="2692"/>
      <c r="J38" s="2692" t="s">
        <v>870</v>
      </c>
      <c r="K38" s="2717"/>
      <c r="L38" s="1327"/>
      <c r="M38" s="1327"/>
      <c r="N38" s="1327"/>
      <c r="O38" s="1327"/>
      <c r="P38" s="1327"/>
      <c r="Q38" s="1328"/>
      <c r="R38" s="1328"/>
      <c r="S38" s="1327"/>
      <c r="T38" s="1327"/>
      <c r="U38" s="1327"/>
      <c r="V38" s="1327"/>
      <c r="W38" s="1327"/>
      <c r="X38" s="1327"/>
      <c r="Y38" s="1327"/>
      <c r="Z38" s="1327"/>
      <c r="AA38" s="1327"/>
      <c r="AB38" s="185"/>
      <c r="AC38" s="95"/>
      <c r="AD38" s="95"/>
      <c r="AE38" s="95"/>
      <c r="AF38" s="95"/>
      <c r="AG38" s="95"/>
      <c r="AH38" s="95"/>
      <c r="AI38" s="95"/>
      <c r="AJ38" s="95"/>
      <c r="AK38" s="95"/>
      <c r="AL38" s="95"/>
    </row>
    <row r="39" spans="1:59" s="31" customFormat="1" ht="66" customHeight="1" thickBot="1" x14ac:dyDescent="0.4">
      <c r="A39" s="2673"/>
      <c r="B39" s="2676"/>
      <c r="C39" s="2676"/>
      <c r="D39" s="2676"/>
      <c r="E39" s="2678"/>
      <c r="F39" s="1228" t="str">
        <f>G8</f>
        <v>Безоплатно отримані</v>
      </c>
      <c r="G39" s="1228" t="str">
        <f>K8</f>
        <v>Отримано як статутний капітал</v>
      </c>
      <c r="H39" s="1228" t="str">
        <f>F39</f>
        <v>Безоплатно отримані</v>
      </c>
      <c r="I39" s="1228" t="str">
        <f>G39</f>
        <v>Отримано як статутний капітал</v>
      </c>
      <c r="J39" s="1228" t="str">
        <f>H39</f>
        <v>Безоплатно отримані</v>
      </c>
      <c r="K39" s="1321" t="str">
        <f>G39</f>
        <v>Отримано як статутний капітал</v>
      </c>
      <c r="L39" s="1327"/>
      <c r="M39" s="1327"/>
      <c r="N39" s="1327"/>
      <c r="O39" s="1327"/>
      <c r="P39" s="1327"/>
      <c r="Q39" s="1328"/>
      <c r="R39" s="1328"/>
      <c r="S39" s="1327"/>
      <c r="T39" s="1327"/>
      <c r="U39" s="1327"/>
      <c r="V39" s="1327"/>
      <c r="W39" s="1327"/>
      <c r="X39" s="1327"/>
      <c r="Y39" s="1327"/>
      <c r="Z39" s="1327"/>
      <c r="AA39" s="1327"/>
      <c r="AB39" s="185"/>
      <c r="AC39" s="95"/>
      <c r="AD39" s="95"/>
      <c r="AE39" s="95"/>
      <c r="AF39" s="95"/>
      <c r="AG39" s="95"/>
      <c r="AH39" s="95"/>
      <c r="AI39" s="95"/>
      <c r="AJ39" s="95"/>
      <c r="AK39" s="95"/>
      <c r="AL39" s="95"/>
    </row>
    <row r="40" spans="1:59" s="31" customFormat="1" ht="22.5" customHeight="1" thickBot="1" x14ac:dyDescent="0.4">
      <c r="A40" s="1229">
        <v>1</v>
      </c>
      <c r="B40" s="2709">
        <v>2</v>
      </c>
      <c r="C40" s="2709"/>
      <c r="D40" s="2709"/>
      <c r="E40" s="1230">
        <v>3</v>
      </c>
      <c r="F40" s="1230">
        <v>4</v>
      </c>
      <c r="G40" s="1230">
        <v>5</v>
      </c>
      <c r="H40" s="1230">
        <v>6</v>
      </c>
      <c r="I40" s="1230">
        <v>7</v>
      </c>
      <c r="J40" s="1230">
        <v>8</v>
      </c>
      <c r="K40" s="1322">
        <v>9</v>
      </c>
      <c r="L40" s="1327"/>
      <c r="M40" s="1327"/>
      <c r="N40" s="1327"/>
      <c r="O40" s="1327"/>
      <c r="P40" s="1327"/>
      <c r="Q40" s="1328"/>
      <c r="R40" s="1328"/>
      <c r="S40" s="1327"/>
      <c r="T40" s="1327"/>
      <c r="U40" s="1327"/>
      <c r="V40" s="1327"/>
      <c r="W40" s="1327"/>
      <c r="X40" s="1327"/>
      <c r="Y40" s="1327"/>
      <c r="Z40" s="1327"/>
      <c r="AA40" s="1327"/>
      <c r="AB40" s="185"/>
      <c r="AC40" s="95"/>
      <c r="AD40" s="95"/>
      <c r="AE40" s="95"/>
      <c r="AF40" s="95"/>
      <c r="AG40" s="95"/>
      <c r="AH40" s="95"/>
      <c r="AI40" s="95"/>
      <c r="AJ40" s="95"/>
      <c r="AK40" s="95"/>
      <c r="AL40" s="95"/>
    </row>
    <row r="41" spans="1:59" s="31" customFormat="1" ht="27" customHeight="1" x14ac:dyDescent="0.35">
      <c r="A41" s="1231" t="s">
        <v>455</v>
      </c>
      <c r="B41" s="2674" t="s">
        <v>474</v>
      </c>
      <c r="C41" s="2674"/>
      <c r="D41" s="2674"/>
      <c r="E41" s="1232">
        <v>1000</v>
      </c>
      <c r="F41" s="2623" t="s">
        <v>296</v>
      </c>
      <c r="G41" s="2623"/>
      <c r="H41" s="2623"/>
      <c r="I41" s="2623"/>
      <c r="J41" s="1233">
        <f>J42-J43</f>
        <v>0</v>
      </c>
      <c r="K41" s="1323">
        <f>K42-K43</f>
        <v>0</v>
      </c>
      <c r="L41" s="1327"/>
      <c r="M41" s="1327"/>
      <c r="N41" s="1327"/>
      <c r="O41" s="1327"/>
      <c r="P41" s="1327"/>
      <c r="Q41" s="1328"/>
      <c r="R41" s="1328"/>
      <c r="S41" s="1327"/>
      <c r="T41" s="1327"/>
      <c r="U41" s="1327"/>
      <c r="V41" s="1327"/>
      <c r="W41" s="1327"/>
      <c r="X41" s="1327"/>
      <c r="Y41" s="1327"/>
      <c r="Z41" s="1327"/>
      <c r="AA41" s="1327"/>
      <c r="AB41" s="185"/>
      <c r="AC41" s="95"/>
      <c r="AD41" s="95"/>
      <c r="AE41" s="95"/>
      <c r="AF41" s="95"/>
      <c r="AG41" s="95"/>
      <c r="AH41" s="95"/>
      <c r="AI41" s="95"/>
      <c r="AJ41" s="95"/>
      <c r="AK41" s="95"/>
      <c r="AL41" s="95"/>
    </row>
    <row r="42" spans="1:59" s="31" customFormat="1" ht="51" customHeight="1" x14ac:dyDescent="0.35">
      <c r="A42" s="1234" t="s">
        <v>457</v>
      </c>
      <c r="B42" s="2632" t="s">
        <v>490</v>
      </c>
      <c r="C42" s="2632"/>
      <c r="D42" s="2632"/>
      <c r="E42" s="1235">
        <v>1001</v>
      </c>
      <c r="F42" s="1236">
        <f>I42</f>
        <v>0</v>
      </c>
      <c r="G42" s="1237" t="s">
        <v>296</v>
      </c>
      <c r="H42" s="1238" t="s">
        <v>296</v>
      </c>
      <c r="I42" s="1239">
        <v>0</v>
      </c>
      <c r="J42" s="1197">
        <f>F42</f>
        <v>0</v>
      </c>
      <c r="K42" s="1324">
        <f>-I42</f>
        <v>0</v>
      </c>
      <c r="L42" s="1327"/>
      <c r="M42" s="1327"/>
      <c r="N42" s="1327"/>
      <c r="O42" s="1327"/>
      <c r="P42" s="1327"/>
      <c r="Q42" s="1328"/>
      <c r="R42" s="1328"/>
      <c r="S42" s="1327"/>
      <c r="T42" s="1327"/>
      <c r="U42" s="1327"/>
      <c r="V42" s="1327"/>
      <c r="W42" s="1327"/>
      <c r="X42" s="1327"/>
      <c r="Y42" s="1327"/>
      <c r="Z42" s="1327"/>
      <c r="AA42" s="1327"/>
      <c r="AB42" s="185"/>
      <c r="AC42" s="95"/>
      <c r="AD42" s="95"/>
      <c r="AE42" s="95"/>
      <c r="AF42" s="95"/>
      <c r="AG42" s="95"/>
      <c r="AH42" s="95"/>
      <c r="AI42" s="95"/>
      <c r="AJ42" s="95"/>
      <c r="AK42" s="95"/>
      <c r="AL42" s="95"/>
    </row>
    <row r="43" spans="1:59" s="31" customFormat="1" ht="36" customHeight="1" x14ac:dyDescent="0.3">
      <c r="A43" s="1234" t="s">
        <v>458</v>
      </c>
      <c r="B43" s="2632" t="s">
        <v>475</v>
      </c>
      <c r="C43" s="2632"/>
      <c r="D43" s="2632"/>
      <c r="E43" s="1240">
        <v>1002</v>
      </c>
      <c r="F43" s="1237" t="s">
        <v>296</v>
      </c>
      <c r="G43" s="1241">
        <v>0</v>
      </c>
      <c r="H43" s="1236">
        <f>G43</f>
        <v>0</v>
      </c>
      <c r="I43" s="1198" t="s">
        <v>296</v>
      </c>
      <c r="J43" s="1197">
        <f>H43</f>
        <v>0</v>
      </c>
      <c r="K43" s="1324">
        <f>-G43</f>
        <v>0</v>
      </c>
      <c r="L43" s="1327"/>
      <c r="M43" s="1327"/>
      <c r="N43" s="1327"/>
      <c r="O43" s="1327"/>
      <c r="P43" s="1327"/>
      <c r="Q43" s="1327"/>
      <c r="R43" s="1327"/>
      <c r="S43" s="1327"/>
      <c r="T43" s="1327"/>
      <c r="U43" s="1327"/>
      <c r="V43" s="1327"/>
      <c r="W43" s="1327"/>
      <c r="X43" s="1327"/>
      <c r="Y43" s="1327"/>
      <c r="Z43" s="1327"/>
      <c r="AA43" s="1327"/>
      <c r="AB43" s="185"/>
      <c r="AC43" s="95"/>
      <c r="AD43" s="95"/>
      <c r="AE43" s="95"/>
      <c r="AF43" s="95"/>
      <c r="AG43" s="95"/>
      <c r="AH43" s="95"/>
      <c r="AI43" s="95"/>
      <c r="AJ43" s="95"/>
      <c r="AK43" s="95"/>
      <c r="AL43" s="95"/>
    </row>
    <row r="44" spans="1:59" s="31" customFormat="1" ht="22.5" customHeight="1" x14ac:dyDescent="0.3">
      <c r="A44" s="1234" t="str">
        <f>A13</f>
        <v>Т10.1.3</v>
      </c>
      <c r="B44" s="2632" t="str">
        <f>B13</f>
        <v>дооцінка ННМА</v>
      </c>
      <c r="C44" s="2632">
        <f>C13</f>
        <v>0</v>
      </c>
      <c r="D44" s="2632">
        <f>D13</f>
        <v>0</v>
      </c>
      <c r="E44" s="1242"/>
      <c r="F44" s="2622" t="s">
        <v>296</v>
      </c>
      <c r="G44" s="2622"/>
      <c r="H44" s="2622"/>
      <c r="I44" s="2622"/>
      <c r="J44" s="1197">
        <f>J45-J46</f>
        <v>0</v>
      </c>
      <c r="K44" s="1324">
        <f>K45-K46</f>
        <v>0</v>
      </c>
      <c r="L44" s="1327"/>
      <c r="M44" s="1327"/>
      <c r="N44" s="1327"/>
      <c r="O44" s="1327"/>
      <c r="P44" s="1327"/>
      <c r="Q44" s="1327"/>
      <c r="R44" s="1327"/>
      <c r="S44" s="1327"/>
      <c r="T44" s="1327"/>
      <c r="U44" s="1327"/>
      <c r="V44" s="1327"/>
      <c r="W44" s="1327"/>
      <c r="X44" s="1327"/>
      <c r="Y44" s="1327"/>
      <c r="Z44" s="1327"/>
      <c r="AA44" s="1327"/>
      <c r="AB44" s="185"/>
      <c r="AC44" s="95"/>
      <c r="AD44" s="95"/>
      <c r="AE44" s="95"/>
      <c r="AF44" s="95"/>
      <c r="AG44" s="95"/>
      <c r="AH44" s="95"/>
      <c r="AI44" s="95"/>
      <c r="AJ44" s="95"/>
      <c r="AK44" s="95"/>
      <c r="AL44" s="95"/>
    </row>
    <row r="45" spans="1:59" s="31" customFormat="1" ht="28.5" customHeight="1" x14ac:dyDescent="0.3">
      <c r="A45" s="1234" t="str">
        <f>A14</f>
        <v>Т10.1.3.1.</v>
      </c>
      <c r="B45" s="2632" t="str">
        <f>B14</f>
        <v>первісна вартість дооцінки</v>
      </c>
      <c r="C45" s="2632"/>
      <c r="D45" s="2632"/>
      <c r="E45" s="1242"/>
      <c r="F45" s="1243">
        <f>I45</f>
        <v>0</v>
      </c>
      <c r="G45" s="1244"/>
      <c r="H45" s="1245"/>
      <c r="I45" s="1239">
        <v>0</v>
      </c>
      <c r="J45" s="1197">
        <f>F45</f>
        <v>0</v>
      </c>
      <c r="K45" s="1324">
        <f>-I45</f>
        <v>0</v>
      </c>
      <c r="L45" s="1327"/>
      <c r="M45" s="1327"/>
      <c r="N45" s="1327"/>
      <c r="O45" s="1327"/>
      <c r="P45" s="1327"/>
      <c r="Q45" s="1327"/>
      <c r="R45" s="1327"/>
      <c r="S45" s="1327"/>
      <c r="T45" s="1327"/>
      <c r="U45" s="1327"/>
      <c r="V45" s="1327"/>
      <c r="W45" s="1327"/>
      <c r="X45" s="1327"/>
      <c r="Y45" s="1327"/>
      <c r="Z45" s="1327"/>
      <c r="AA45" s="1327"/>
      <c r="AB45" s="185"/>
      <c r="AC45" s="95"/>
      <c r="AD45" s="95"/>
      <c r="AE45" s="95"/>
      <c r="AF45" s="95"/>
      <c r="AG45" s="95"/>
      <c r="AH45" s="95"/>
      <c r="AI45" s="95"/>
      <c r="AJ45" s="95"/>
      <c r="AK45" s="95"/>
      <c r="AL45" s="95"/>
    </row>
    <row r="46" spans="1:59" s="31" customFormat="1" ht="52.5" customHeight="1" thickBot="1" x14ac:dyDescent="0.35">
      <c r="A46" s="1246" t="str">
        <f>A15</f>
        <v>Т10.1.3.2.</v>
      </c>
      <c r="B46" s="2702" t="str">
        <f>B15</f>
        <v>рух по 13 рахунку щодо дооцінки</v>
      </c>
      <c r="C46" s="2702"/>
      <c r="D46" s="2702"/>
      <c r="E46" s="1247"/>
      <c r="F46" s="1248"/>
      <c r="G46" s="1249">
        <v>0</v>
      </c>
      <c r="H46" s="1250">
        <f>G46</f>
        <v>0</v>
      </c>
      <c r="I46" s="1251"/>
      <c r="J46" s="1252">
        <f>H46</f>
        <v>0</v>
      </c>
      <c r="K46" s="1325">
        <f>-G46</f>
        <v>0</v>
      </c>
      <c r="L46" s="1327"/>
      <c r="M46" s="1327"/>
      <c r="N46" s="1327"/>
      <c r="O46" s="1327"/>
      <c r="P46" s="1327"/>
      <c r="Q46" s="1327"/>
      <c r="R46" s="1327"/>
      <c r="S46" s="1327"/>
      <c r="T46" s="1327"/>
      <c r="U46" s="1327"/>
      <c r="V46" s="1327"/>
      <c r="W46" s="1327"/>
      <c r="X46" s="1327"/>
      <c r="Y46" s="1327"/>
      <c r="Z46" s="1327"/>
      <c r="AA46" s="1327"/>
      <c r="AB46" s="185"/>
      <c r="AC46" s="95"/>
      <c r="AD46" s="95"/>
      <c r="AE46" s="95"/>
      <c r="AF46" s="95"/>
      <c r="AG46" s="95"/>
      <c r="AH46" s="95"/>
      <c r="AI46" s="95"/>
      <c r="AJ46" s="95"/>
      <c r="AK46" s="95"/>
      <c r="AL46" s="95"/>
    </row>
    <row r="47" spans="1:59" s="31" customFormat="1" ht="25.5" customHeight="1" x14ac:dyDescent="0.3">
      <c r="A47" s="1231" t="s">
        <v>459</v>
      </c>
      <c r="B47" s="2674" t="s">
        <v>103</v>
      </c>
      <c r="C47" s="2674"/>
      <c r="D47" s="2674"/>
      <c r="E47" s="1232">
        <v>1010</v>
      </c>
      <c r="F47" s="2710" t="s">
        <v>296</v>
      </c>
      <c r="G47" s="2710"/>
      <c r="H47" s="2710"/>
      <c r="I47" s="2710"/>
      <c r="J47" s="1233">
        <f>J48-J49</f>
        <v>0</v>
      </c>
      <c r="K47" s="1323">
        <f>K48-K49</f>
        <v>0</v>
      </c>
      <c r="L47" s="1327"/>
      <c r="M47" s="1327"/>
      <c r="N47" s="1327"/>
      <c r="O47" s="1327"/>
      <c r="P47" s="1327"/>
      <c r="Q47" s="1327"/>
      <c r="R47" s="1327"/>
      <c r="S47" s="1327"/>
      <c r="T47" s="1327"/>
      <c r="U47" s="1327"/>
      <c r="V47" s="1327"/>
      <c r="W47" s="1327"/>
      <c r="X47" s="1327"/>
      <c r="Y47" s="1327"/>
      <c r="Z47" s="1327"/>
      <c r="AA47" s="1327"/>
      <c r="AB47" s="185"/>
      <c r="AC47" s="95"/>
      <c r="AD47" s="95"/>
      <c r="AE47" s="95"/>
      <c r="AF47" s="95"/>
      <c r="AG47" s="95"/>
      <c r="AH47" s="95"/>
      <c r="AI47" s="95"/>
      <c r="AJ47" s="95"/>
      <c r="AK47" s="95"/>
      <c r="AL47" s="95"/>
    </row>
    <row r="48" spans="1:59" s="31" customFormat="1" ht="43.5" customHeight="1" x14ac:dyDescent="0.3">
      <c r="A48" s="1234" t="s">
        <v>460</v>
      </c>
      <c r="B48" s="2632" t="s">
        <v>492</v>
      </c>
      <c r="C48" s="2632"/>
      <c r="D48" s="2632"/>
      <c r="E48" s="1235">
        <v>1011</v>
      </c>
      <c r="F48" s="1236">
        <f>I48</f>
        <v>0</v>
      </c>
      <c r="G48" s="1237" t="s">
        <v>296</v>
      </c>
      <c r="H48" s="1238" t="s">
        <v>296</v>
      </c>
      <c r="I48" s="1239">
        <v>0</v>
      </c>
      <c r="J48" s="1197">
        <f>F48</f>
        <v>0</v>
      </c>
      <c r="K48" s="1324">
        <f>-I48</f>
        <v>0</v>
      </c>
      <c r="L48" s="1327"/>
      <c r="M48" s="1327"/>
      <c r="N48" s="1327"/>
      <c r="O48" s="1327"/>
      <c r="P48" s="1327"/>
      <c r="Q48" s="1327"/>
      <c r="R48" s="1327"/>
      <c r="S48" s="1327"/>
      <c r="T48" s="1327"/>
      <c r="U48" s="1327"/>
      <c r="V48" s="1327"/>
      <c r="W48" s="1327"/>
      <c r="X48" s="1327"/>
      <c r="Y48" s="1327"/>
      <c r="Z48" s="1327"/>
      <c r="AA48" s="1327"/>
      <c r="AB48" s="185"/>
      <c r="AC48" s="95"/>
      <c r="AD48" s="95"/>
      <c r="AE48" s="95"/>
      <c r="AF48" s="95"/>
      <c r="AG48" s="95"/>
      <c r="AH48" s="95"/>
      <c r="AI48" s="95"/>
      <c r="AJ48" s="95"/>
      <c r="AK48" s="95"/>
      <c r="AL48" s="95"/>
    </row>
    <row r="49" spans="1:69" s="31" customFormat="1" ht="22.5" customHeight="1" x14ac:dyDescent="0.3">
      <c r="A49" s="1234" t="s">
        <v>461</v>
      </c>
      <c r="B49" s="2632" t="s">
        <v>476</v>
      </c>
      <c r="C49" s="2632"/>
      <c r="D49" s="2632"/>
      <c r="E49" s="1235">
        <v>1012</v>
      </c>
      <c r="F49" s="1237" t="s">
        <v>296</v>
      </c>
      <c r="G49" s="1241">
        <v>0</v>
      </c>
      <c r="H49" s="1236">
        <f>G49</f>
        <v>0</v>
      </c>
      <c r="I49" s="1198" t="s">
        <v>296</v>
      </c>
      <c r="J49" s="1197">
        <f>H49</f>
        <v>0</v>
      </c>
      <c r="K49" s="1324">
        <f>-G49</f>
        <v>0</v>
      </c>
      <c r="L49" s="1339"/>
      <c r="M49" s="1327"/>
      <c r="N49" s="1327"/>
      <c r="O49" s="1327"/>
      <c r="P49" s="1327"/>
      <c r="Q49" s="1327"/>
      <c r="R49" s="1327"/>
      <c r="S49" s="1327"/>
      <c r="T49" s="1327"/>
      <c r="U49" s="1327"/>
      <c r="V49" s="1327"/>
      <c r="W49" s="1327"/>
      <c r="X49" s="1327"/>
      <c r="Y49" s="1327"/>
      <c r="Z49" s="1327"/>
      <c r="AA49" s="1327"/>
      <c r="AB49" s="185"/>
      <c r="AC49" s="95"/>
      <c r="AD49" s="95"/>
      <c r="AE49" s="95"/>
      <c r="AF49" s="95"/>
      <c r="AG49" s="95"/>
      <c r="AH49" s="95"/>
      <c r="AI49" s="95"/>
      <c r="AJ49" s="95"/>
      <c r="AK49" s="95"/>
      <c r="AL49" s="95"/>
    </row>
    <row r="50" spans="1:69" s="31" customFormat="1" ht="22.5" customHeight="1" x14ac:dyDescent="0.3">
      <c r="A50" s="1234" t="str">
        <f t="shared" ref="A50:B52" si="5">A22</f>
        <v>Т10.3.3</v>
      </c>
      <c r="B50" s="2632" t="str">
        <f t="shared" si="5"/>
        <v>дооцінка ОЗ</v>
      </c>
      <c r="C50" s="2632"/>
      <c r="D50" s="2632"/>
      <c r="E50" s="1235"/>
      <c r="F50" s="2622" t="s">
        <v>296</v>
      </c>
      <c r="G50" s="2622"/>
      <c r="H50" s="2622"/>
      <c r="I50" s="2622"/>
      <c r="J50" s="1197">
        <f>J51-J52</f>
        <v>0</v>
      </c>
      <c r="K50" s="1324">
        <f>K51-K52</f>
        <v>0</v>
      </c>
      <c r="L50" s="1339"/>
      <c r="M50" s="1327"/>
      <c r="N50" s="1327"/>
      <c r="O50" s="1327"/>
      <c r="P50" s="1327"/>
      <c r="Q50" s="1327"/>
      <c r="R50" s="1327"/>
      <c r="S50" s="1327"/>
      <c r="T50" s="1327"/>
      <c r="U50" s="1327"/>
      <c r="V50" s="1327"/>
      <c r="W50" s="1327"/>
      <c r="X50" s="1327"/>
      <c r="Y50" s="1327"/>
      <c r="Z50" s="1327"/>
      <c r="AA50" s="1327"/>
      <c r="AB50" s="185"/>
      <c r="AC50" s="95"/>
      <c r="AD50" s="95"/>
      <c r="AE50" s="95"/>
      <c r="AF50" s="95"/>
      <c r="AG50" s="95"/>
      <c r="AH50" s="95"/>
      <c r="AI50" s="95"/>
      <c r="AJ50" s="95"/>
      <c r="AK50" s="95"/>
      <c r="AL50" s="95"/>
    </row>
    <row r="51" spans="1:69" s="31" customFormat="1" ht="32.25" customHeight="1" x14ac:dyDescent="0.3">
      <c r="A51" s="1234" t="str">
        <f t="shared" si="5"/>
        <v>Т10.3.3.1.</v>
      </c>
      <c r="B51" s="2632" t="str">
        <f t="shared" si="5"/>
        <v>первісна вартість дооцінки</v>
      </c>
      <c r="C51" s="2632"/>
      <c r="D51" s="2632"/>
      <c r="E51" s="1235"/>
      <c r="F51" s="1253">
        <f>I51</f>
        <v>0</v>
      </c>
      <c r="G51" s="1244"/>
      <c r="H51" s="1245"/>
      <c r="I51" s="1239">
        <v>0</v>
      </c>
      <c r="J51" s="1197">
        <f>F51</f>
        <v>0</v>
      </c>
      <c r="K51" s="1324">
        <f>-I51</f>
        <v>0</v>
      </c>
      <c r="L51" s="1339"/>
      <c r="M51" s="1327"/>
      <c r="N51" s="1327"/>
      <c r="O51" s="1327"/>
      <c r="P51" s="1327"/>
      <c r="Q51" s="1327"/>
      <c r="R51" s="1327"/>
      <c r="S51" s="1327"/>
      <c r="T51" s="1327"/>
      <c r="U51" s="1327"/>
      <c r="V51" s="1327"/>
      <c r="W51" s="1327"/>
      <c r="X51" s="1327"/>
      <c r="Y51" s="1327"/>
      <c r="Z51" s="1327"/>
      <c r="AA51" s="1327"/>
      <c r="AB51" s="185"/>
      <c r="AC51" s="95"/>
      <c r="AD51" s="95"/>
      <c r="AE51" s="95"/>
      <c r="AF51" s="95"/>
      <c r="AG51" s="95"/>
      <c r="AH51" s="95"/>
      <c r="AI51" s="95"/>
      <c r="AJ51" s="95"/>
      <c r="AK51" s="95"/>
      <c r="AL51" s="95"/>
    </row>
    <row r="52" spans="1:69" s="31" customFormat="1" ht="48" customHeight="1" thickBot="1" x14ac:dyDescent="0.35">
      <c r="A52" s="1246" t="str">
        <f t="shared" si="5"/>
        <v>Т10.3.3.2.</v>
      </c>
      <c r="B52" s="2702" t="str">
        <f t="shared" si="5"/>
        <v>рух по 13 рахунку щодо дооцінки</v>
      </c>
      <c r="C52" s="2702"/>
      <c r="D52" s="2702"/>
      <c r="E52" s="1254"/>
      <c r="F52" s="1248"/>
      <c r="G52" s="1249">
        <v>0</v>
      </c>
      <c r="H52" s="1250">
        <f>G52</f>
        <v>0</v>
      </c>
      <c r="I52" s="1251"/>
      <c r="J52" s="1252">
        <f>H52</f>
        <v>0</v>
      </c>
      <c r="K52" s="1325">
        <f>-G52</f>
        <v>0</v>
      </c>
      <c r="L52" s="1339"/>
      <c r="M52" s="1327"/>
      <c r="N52" s="1327"/>
      <c r="O52" s="1327"/>
      <c r="P52" s="1327"/>
      <c r="Q52" s="1327"/>
      <c r="R52" s="1327"/>
      <c r="S52" s="1327"/>
      <c r="T52" s="1327"/>
      <c r="U52" s="1327"/>
      <c r="V52" s="1327"/>
      <c r="W52" s="1327"/>
      <c r="X52" s="1327"/>
      <c r="Y52" s="1327"/>
      <c r="Z52" s="1327"/>
      <c r="AA52" s="1327"/>
      <c r="AB52" s="185"/>
      <c r="AC52" s="95"/>
      <c r="AD52" s="95"/>
      <c r="AE52" s="95"/>
      <c r="AF52" s="95"/>
      <c r="AG52" s="95"/>
      <c r="AH52" s="95"/>
      <c r="AI52" s="95"/>
      <c r="AJ52" s="95"/>
      <c r="AK52" s="95"/>
      <c r="AL52" s="95"/>
    </row>
    <row r="53" spans="1:69" s="31" customFormat="1" ht="33" customHeight="1" thickBot="1" x14ac:dyDescent="0.35">
      <c r="A53" s="1255" t="s">
        <v>1593</v>
      </c>
      <c r="B53" s="2703" t="s">
        <v>126</v>
      </c>
      <c r="C53" s="2703"/>
      <c r="D53" s="2703"/>
      <c r="E53" s="1256">
        <v>1410</v>
      </c>
      <c r="F53" s="1257">
        <v>0</v>
      </c>
      <c r="G53" s="1258" t="s">
        <v>296</v>
      </c>
      <c r="H53" s="1257">
        <v>0</v>
      </c>
      <c r="I53" s="1258" t="s">
        <v>296</v>
      </c>
      <c r="J53" s="1319">
        <f>H53-F53</f>
        <v>0</v>
      </c>
      <c r="K53" s="1326" t="s">
        <v>296</v>
      </c>
      <c r="L53" s="1339"/>
      <c r="M53" s="1327"/>
      <c r="N53" s="1327"/>
      <c r="O53" s="1327"/>
      <c r="P53" s="1327"/>
      <c r="Q53" s="1327"/>
      <c r="R53" s="1327"/>
      <c r="S53" s="1327"/>
      <c r="T53" s="1327"/>
      <c r="U53" s="1327"/>
      <c r="V53" s="1327"/>
      <c r="W53" s="1327"/>
      <c r="X53" s="1327"/>
      <c r="Y53" s="1327"/>
      <c r="Z53" s="1327"/>
      <c r="AA53" s="1327"/>
      <c r="AB53" s="185"/>
      <c r="AC53" s="95"/>
      <c r="AD53" s="95"/>
      <c r="AE53" s="95"/>
      <c r="AF53" s="95"/>
      <c r="AG53" s="95"/>
      <c r="AH53" s="95"/>
      <c r="AI53" s="95"/>
      <c r="AJ53" s="95"/>
      <c r="AK53" s="95"/>
      <c r="AL53" s="95"/>
    </row>
    <row r="54" spans="1:69" s="31" customFormat="1" ht="33" customHeight="1" x14ac:dyDescent="0.3">
      <c r="A54" s="986"/>
      <c r="B54" s="987"/>
      <c r="C54" s="987"/>
      <c r="D54" s="987"/>
      <c r="E54" s="988"/>
      <c r="F54" s="985"/>
      <c r="G54" s="989"/>
      <c r="H54" s="985"/>
      <c r="I54" s="989"/>
      <c r="J54" s="615"/>
      <c r="K54" s="984"/>
      <c r="L54" s="1339"/>
      <c r="M54" s="1327"/>
      <c r="N54" s="1327"/>
      <c r="O54" s="1327"/>
      <c r="P54" s="1327"/>
      <c r="Q54" s="1327"/>
      <c r="R54" s="1327"/>
      <c r="S54" s="1327"/>
      <c r="T54" s="1327"/>
      <c r="U54" s="1327"/>
      <c r="V54" s="1327"/>
      <c r="W54" s="1327"/>
      <c r="X54" s="1327"/>
      <c r="Y54" s="1327"/>
      <c r="Z54" s="1327"/>
      <c r="AA54" s="1327"/>
      <c r="AB54" s="185"/>
      <c r="AC54" s="95"/>
      <c r="AD54" s="95"/>
      <c r="AE54" s="95"/>
      <c r="AF54" s="95"/>
      <c r="AG54" s="95"/>
      <c r="AH54" s="95"/>
      <c r="AI54" s="95"/>
      <c r="AJ54" s="95"/>
      <c r="AK54" s="95"/>
      <c r="AL54" s="95"/>
    </row>
    <row r="55" spans="1:69" s="31" customFormat="1" ht="41.25" customHeight="1" thickBot="1" x14ac:dyDescent="0.35">
      <c r="A55" s="1320" t="s">
        <v>1556</v>
      </c>
      <c r="B55" s="629"/>
      <c r="C55" s="629"/>
      <c r="D55" s="629"/>
      <c r="E55" s="630"/>
      <c r="F55" s="631"/>
      <c r="G55" s="627"/>
      <c r="H55" s="633"/>
      <c r="J55" s="628"/>
      <c r="K55" s="632"/>
      <c r="L55" s="1350"/>
      <c r="M55" s="1351"/>
      <c r="N55" s="1351"/>
      <c r="O55" s="1351"/>
      <c r="P55" s="1351"/>
      <c r="Q55" s="1327"/>
      <c r="R55" s="1327"/>
      <c r="S55" s="1327"/>
      <c r="T55" s="1327"/>
      <c r="U55" s="1327"/>
      <c r="V55" s="1327"/>
      <c r="W55" s="1327"/>
      <c r="X55" s="1327"/>
      <c r="Y55" s="1327"/>
      <c r="Z55" s="1327"/>
      <c r="AA55" s="1327"/>
      <c r="AB55" s="185"/>
      <c r="AC55" s="95"/>
      <c r="AD55" s="95"/>
      <c r="AE55" s="95"/>
      <c r="AF55" s="95"/>
      <c r="AG55" s="95"/>
      <c r="AH55" s="95"/>
      <c r="AI55" s="95"/>
      <c r="AJ55" s="95"/>
      <c r="AK55" s="95"/>
      <c r="AL55" s="95"/>
    </row>
    <row r="56" spans="1:69" s="31" customFormat="1" ht="71.25" customHeight="1" thickBot="1" x14ac:dyDescent="0.3">
      <c r="A56" s="1352" t="s">
        <v>1560</v>
      </c>
      <c r="B56" s="2554" t="s">
        <v>1557</v>
      </c>
      <c r="C56" s="2555"/>
      <c r="D56" s="2626" t="s">
        <v>1562</v>
      </c>
      <c r="E56" s="2627"/>
      <c r="F56" s="2627"/>
      <c r="G56" s="2627"/>
      <c r="H56" s="2627"/>
      <c r="I56" s="2627"/>
      <c r="J56" s="2628"/>
      <c r="K56" s="1354">
        <v>1</v>
      </c>
      <c r="L56" s="1355" t="str">
        <f>IF('Звіт   4,5,6'!E39=0,"Дані не введено",IF(OR(AND(K57=2,K56=0),AND(K57=0,K56=1)),"ПРАВДА","ПОМИЛКА"))</f>
        <v>ПРАВДА</v>
      </c>
      <c r="M56" s="2776" t="s">
        <v>1564</v>
      </c>
      <c r="N56" s="2776"/>
      <c r="O56" s="2776"/>
      <c r="P56" s="2777"/>
      <c r="Q56" s="874"/>
      <c r="R56" s="874"/>
      <c r="S56" s="874"/>
      <c r="T56" s="185"/>
      <c r="U56" s="185"/>
      <c r="V56" s="185"/>
      <c r="W56" s="185"/>
      <c r="X56" s="185"/>
      <c r="Y56" s="185"/>
      <c r="Z56" s="185"/>
      <c r="AA56" s="185"/>
      <c r="AB56" s="185"/>
      <c r="AC56" s="95"/>
      <c r="AD56" s="95"/>
      <c r="AE56" s="95"/>
      <c r="AF56" s="95"/>
      <c r="AG56" s="95"/>
      <c r="AH56" s="95"/>
      <c r="AI56" s="95"/>
      <c r="AJ56" s="95"/>
      <c r="AK56" s="95"/>
      <c r="AL56" s="95"/>
    </row>
    <row r="57" spans="1:69" s="31" customFormat="1" ht="53.25" customHeight="1" thickBot="1" x14ac:dyDescent="0.35">
      <c r="A57" s="1353" t="s">
        <v>1561</v>
      </c>
      <c r="B57" s="2556" t="s">
        <v>1558</v>
      </c>
      <c r="C57" s="2557"/>
      <c r="D57" s="2629" t="s">
        <v>1565</v>
      </c>
      <c r="E57" s="2630"/>
      <c r="F57" s="2630"/>
      <c r="G57" s="2630"/>
      <c r="H57" s="2630"/>
      <c r="I57" s="2630"/>
      <c r="J57" s="2631"/>
      <c r="K57" s="1354">
        <v>0</v>
      </c>
      <c r="L57" s="1220"/>
      <c r="M57" s="1220"/>
      <c r="N57" s="1220"/>
      <c r="O57" s="1220"/>
      <c r="P57" s="1220"/>
      <c r="Q57" s="261"/>
      <c r="R57" s="261"/>
      <c r="S57" s="261"/>
      <c r="T57" s="261"/>
      <c r="U57" s="261"/>
      <c r="V57" s="261"/>
      <c r="W57" s="261"/>
      <c r="X57" s="261"/>
      <c r="Y57" s="261"/>
      <c r="Z57" s="261"/>
      <c r="AA57" s="261"/>
      <c r="AB57" s="261"/>
      <c r="AC57" s="261"/>
      <c r="AD57" s="261"/>
      <c r="AE57" s="322"/>
      <c r="AF57" s="261"/>
      <c r="AG57" s="185"/>
      <c r="AH57" s="185"/>
      <c r="AI57" s="185"/>
      <c r="AJ57" s="185"/>
      <c r="AK57" s="185"/>
      <c r="AL57" s="185"/>
      <c r="AM57" s="185"/>
      <c r="AN57" s="185"/>
      <c r="AO57" s="185"/>
      <c r="AP57" s="185"/>
      <c r="AQ57" s="185"/>
      <c r="AR57" s="185"/>
      <c r="AS57" s="185"/>
      <c r="AT57" s="185"/>
      <c r="AU57" s="185"/>
      <c r="AV57" s="185"/>
      <c r="AW57" s="185"/>
      <c r="AX57" s="95"/>
      <c r="AY57" s="95"/>
      <c r="AZ57" s="95"/>
      <c r="BA57" s="95"/>
      <c r="BB57" s="95"/>
      <c r="BC57" s="95"/>
      <c r="BD57" s="95"/>
      <c r="BE57" s="95"/>
      <c r="BF57" s="95"/>
      <c r="BG57" s="95"/>
    </row>
    <row r="58" spans="1:69" s="31" customFormat="1" ht="13.5" customHeight="1" thickBot="1" x14ac:dyDescent="0.35">
      <c r="A58" s="869"/>
      <c r="B58" s="870"/>
      <c r="C58" s="870"/>
      <c r="D58" s="871"/>
      <c r="E58" s="871"/>
      <c r="F58" s="871"/>
      <c r="G58" s="871"/>
      <c r="H58" s="871"/>
      <c r="I58" s="871"/>
      <c r="J58" s="871"/>
      <c r="K58" s="872"/>
      <c r="L58" s="261"/>
      <c r="M58" s="261"/>
      <c r="N58" s="261"/>
      <c r="O58" s="261"/>
      <c r="P58" s="261"/>
      <c r="Q58" s="261"/>
      <c r="R58" s="261"/>
      <c r="S58" s="261"/>
      <c r="T58" s="261"/>
      <c r="U58" s="261"/>
      <c r="V58" s="261"/>
      <c r="W58" s="261"/>
      <c r="X58" s="261"/>
      <c r="Y58" s="261"/>
      <c r="Z58" s="261"/>
      <c r="AA58" s="261"/>
      <c r="AB58" s="261"/>
      <c r="AC58" s="261"/>
      <c r="AD58" s="261"/>
      <c r="AE58" s="322"/>
      <c r="AF58" s="261"/>
      <c r="AG58" s="185"/>
      <c r="AH58" s="185"/>
      <c r="AI58" s="185"/>
      <c r="AJ58" s="185"/>
      <c r="AK58" s="185"/>
      <c r="AL58" s="185"/>
      <c r="AM58" s="185"/>
      <c r="AN58" s="185"/>
      <c r="AO58" s="185"/>
      <c r="AP58" s="185"/>
      <c r="AQ58" s="185"/>
      <c r="AR58" s="185"/>
      <c r="AS58" s="185"/>
      <c r="AT58" s="185"/>
      <c r="AU58" s="185"/>
      <c r="AV58" s="185"/>
      <c r="AW58" s="185"/>
      <c r="AX58" s="95"/>
      <c r="AY58" s="95"/>
      <c r="AZ58" s="95"/>
      <c r="BA58" s="95"/>
      <c r="BB58" s="95"/>
      <c r="BC58" s="95"/>
      <c r="BD58" s="95"/>
      <c r="BE58" s="95"/>
      <c r="BF58" s="95"/>
      <c r="BG58" s="95"/>
    </row>
    <row r="59" spans="1:69" s="31" customFormat="1" ht="168.75" customHeight="1" x14ac:dyDescent="0.3">
      <c r="A59" s="2558" t="s">
        <v>1209</v>
      </c>
      <c r="B59" s="2558"/>
      <c r="C59" s="2558"/>
      <c r="D59" s="2558"/>
      <c r="E59" s="2558"/>
      <c r="F59" s="2558"/>
      <c r="G59" s="2558"/>
      <c r="H59" s="2558"/>
      <c r="I59" s="2558"/>
      <c r="J59" s="2558"/>
      <c r="K59" s="2558"/>
      <c r="L59" s="2754" t="s">
        <v>1236</v>
      </c>
      <c r="M59" s="2768"/>
      <c r="N59" s="2768"/>
      <c r="O59" s="2768"/>
      <c r="P59" s="2769"/>
      <c r="Q59" s="2754" t="s">
        <v>1237</v>
      </c>
      <c r="R59" s="2755"/>
      <c r="S59" s="2756"/>
      <c r="T59" s="2724" t="s">
        <v>1559</v>
      </c>
      <c r="U59" s="2725"/>
      <c r="V59" s="2725"/>
      <c r="W59" s="2725"/>
      <c r="X59" s="2725"/>
      <c r="Y59" s="2726"/>
      <c r="Z59" s="192"/>
      <c r="AG59" s="185"/>
      <c r="AH59" s="185"/>
      <c r="AI59" s="185"/>
      <c r="AJ59" s="185"/>
      <c r="AK59" s="185"/>
      <c r="AL59" s="185"/>
      <c r="AM59" s="185"/>
      <c r="AN59" s="185"/>
      <c r="AO59" s="185"/>
      <c r="AP59" s="185"/>
      <c r="AQ59" s="185"/>
      <c r="AR59" s="185"/>
      <c r="AS59" s="185"/>
      <c r="AT59" s="185"/>
      <c r="AU59" s="185"/>
      <c r="AV59" s="185"/>
      <c r="AW59" s="185"/>
      <c r="AX59" s="95"/>
      <c r="AY59" s="95"/>
      <c r="AZ59" s="95"/>
      <c r="BA59" s="95"/>
      <c r="BB59" s="95"/>
      <c r="BC59" s="95"/>
      <c r="BD59" s="95"/>
      <c r="BE59" s="95"/>
      <c r="BF59" s="95"/>
      <c r="BG59" s="95"/>
    </row>
    <row r="60" spans="1:69" s="31" customFormat="1" ht="35.25" customHeight="1" x14ac:dyDescent="0.3">
      <c r="A60" s="2558"/>
      <c r="B60" s="2558"/>
      <c r="C60" s="2558"/>
      <c r="D60" s="2558"/>
      <c r="E60" s="2558"/>
      <c r="F60" s="2558"/>
      <c r="G60" s="2558"/>
      <c r="H60" s="2558"/>
      <c r="I60" s="2558"/>
      <c r="J60" s="2558"/>
      <c r="K60" s="2558"/>
      <c r="L60" s="2770"/>
      <c r="M60" s="2771"/>
      <c r="N60" s="2771"/>
      <c r="O60" s="2771"/>
      <c r="P60" s="2772"/>
      <c r="Q60" s="2757"/>
      <c r="R60" s="2758"/>
      <c r="S60" s="2759"/>
      <c r="T60" s="2727"/>
      <c r="U60" s="2728"/>
      <c r="V60" s="2728"/>
      <c r="W60" s="2728"/>
      <c r="X60" s="2728"/>
      <c r="Y60" s="2729"/>
      <c r="Z60" s="192"/>
      <c r="AG60" s="185"/>
      <c r="AH60" s="185"/>
      <c r="AI60" s="185"/>
      <c r="AJ60" s="185"/>
      <c r="AK60" s="185"/>
      <c r="AL60" s="185"/>
      <c r="AM60" s="185"/>
      <c r="AN60" s="185"/>
      <c r="AO60" s="185"/>
      <c r="AP60" s="185"/>
      <c r="AQ60" s="185"/>
      <c r="AR60" s="185"/>
      <c r="AS60" s="185"/>
      <c r="AT60" s="185"/>
      <c r="AU60" s="185"/>
      <c r="AV60" s="185"/>
      <c r="AW60" s="185"/>
      <c r="AX60" s="95"/>
      <c r="AY60" s="95"/>
      <c r="AZ60" s="95"/>
      <c r="BA60" s="95"/>
      <c r="BB60" s="95"/>
      <c r="BC60" s="95"/>
      <c r="BD60" s="95"/>
      <c r="BE60" s="95"/>
      <c r="BF60" s="95"/>
      <c r="BG60" s="95"/>
    </row>
    <row r="61" spans="1:69" s="26" customFormat="1" ht="13.5" customHeight="1" thickBot="1" x14ac:dyDescent="0.3">
      <c r="A61" s="2558"/>
      <c r="B61" s="2558"/>
      <c r="C61" s="2558"/>
      <c r="D61" s="2558"/>
      <c r="E61" s="2558"/>
      <c r="F61" s="2558"/>
      <c r="G61" s="2558"/>
      <c r="H61" s="2558"/>
      <c r="I61" s="2558"/>
      <c r="J61" s="2558"/>
      <c r="K61" s="2558"/>
      <c r="L61" s="2773"/>
      <c r="M61" s="2774"/>
      <c r="N61" s="2774"/>
      <c r="O61" s="2774"/>
      <c r="P61" s="2775"/>
      <c r="Q61" s="2760"/>
      <c r="R61" s="2761"/>
      <c r="S61" s="2762"/>
      <c r="T61" s="2730"/>
      <c r="U61" s="2731"/>
      <c r="V61" s="2731"/>
      <c r="W61" s="2731"/>
      <c r="X61" s="2731"/>
      <c r="Y61" s="2732"/>
      <c r="AK61" s="315"/>
      <c r="AL61" s="315"/>
      <c r="AM61" s="182"/>
      <c r="AN61" s="182"/>
      <c r="AO61" s="184"/>
      <c r="AP61" s="185"/>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row>
    <row r="62" spans="1:69" s="26" customFormat="1" ht="45.75" customHeight="1" x14ac:dyDescent="0.25">
      <c r="A62" s="2565" t="s">
        <v>38</v>
      </c>
      <c r="B62" s="2559" t="s">
        <v>488</v>
      </c>
      <c r="C62" s="2559"/>
      <c r="D62" s="2560"/>
      <c r="E62" s="2778" t="str">
        <f>E7</f>
        <v xml:space="preserve">Код рядка балансу </v>
      </c>
      <c r="F62" s="2577" t="s">
        <v>576</v>
      </c>
      <c r="G62" s="2579" t="s">
        <v>502</v>
      </c>
      <c r="H62" s="2580"/>
      <c r="I62" s="2579" t="s">
        <v>503</v>
      </c>
      <c r="J62" s="2580"/>
      <c r="K62" s="2746" t="s">
        <v>1599</v>
      </c>
      <c r="L62" s="2571" t="s">
        <v>583</v>
      </c>
      <c r="M62" s="2573" t="s">
        <v>757</v>
      </c>
      <c r="N62" s="2573" t="s">
        <v>584</v>
      </c>
      <c r="O62" s="2573" t="s">
        <v>758</v>
      </c>
      <c r="P62" s="2575" t="s">
        <v>620</v>
      </c>
      <c r="Q62" s="2571" t="s">
        <v>774</v>
      </c>
      <c r="R62" s="2573" t="s">
        <v>717</v>
      </c>
      <c r="S62" s="2744" t="s">
        <v>718</v>
      </c>
      <c r="T62" s="2763" t="s">
        <v>838</v>
      </c>
      <c r="U62" s="2573"/>
      <c r="V62" s="2573" t="s">
        <v>839</v>
      </c>
      <c r="W62" s="2573"/>
      <c r="X62" s="2573" t="s">
        <v>719</v>
      </c>
      <c r="Y62" s="2744" t="s">
        <v>720</v>
      </c>
      <c r="AK62" s="315"/>
      <c r="AL62" s="315"/>
      <c r="AM62" s="182"/>
      <c r="AN62" s="182"/>
      <c r="AO62" s="184"/>
      <c r="AP62" s="185"/>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row>
    <row r="63" spans="1:69" s="26" customFormat="1" ht="57.75" customHeight="1" x14ac:dyDescent="0.25">
      <c r="A63" s="2566"/>
      <c r="B63" s="2561"/>
      <c r="C63" s="2561"/>
      <c r="D63" s="2562"/>
      <c r="E63" s="2770"/>
      <c r="F63" s="2578"/>
      <c r="G63" s="2581"/>
      <c r="H63" s="2582"/>
      <c r="I63" s="2581"/>
      <c r="J63" s="2582"/>
      <c r="K63" s="2747"/>
      <c r="L63" s="2572"/>
      <c r="M63" s="2574"/>
      <c r="N63" s="2574"/>
      <c r="O63" s="2574"/>
      <c r="P63" s="2576"/>
      <c r="Q63" s="2572"/>
      <c r="R63" s="2574"/>
      <c r="S63" s="2745"/>
      <c r="T63" s="2764"/>
      <c r="U63" s="2574"/>
      <c r="V63" s="2574"/>
      <c r="W63" s="2574"/>
      <c r="X63" s="2574"/>
      <c r="Y63" s="2745"/>
      <c r="AK63" s="315"/>
      <c r="AL63" s="315"/>
      <c r="AM63" s="182"/>
      <c r="AN63" s="182"/>
      <c r="AO63" s="184"/>
      <c r="AP63" s="185"/>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row>
    <row r="64" spans="1:69" s="9" customFormat="1" ht="35.25" customHeight="1" x14ac:dyDescent="0.25">
      <c r="A64" s="2566"/>
      <c r="B64" s="2561"/>
      <c r="C64" s="2561"/>
      <c r="D64" s="2562"/>
      <c r="E64" s="2770"/>
      <c r="F64" s="2578"/>
      <c r="G64" s="2583"/>
      <c r="H64" s="2584"/>
      <c r="I64" s="2583"/>
      <c r="J64" s="2584"/>
      <c r="K64" s="2747"/>
      <c r="L64" s="2572"/>
      <c r="M64" s="2574"/>
      <c r="N64" s="2574"/>
      <c r="O64" s="2574"/>
      <c r="P64" s="2576"/>
      <c r="Q64" s="2572"/>
      <c r="R64" s="2574"/>
      <c r="S64" s="2745"/>
      <c r="T64" s="2764"/>
      <c r="U64" s="2574"/>
      <c r="V64" s="2574"/>
      <c r="W64" s="2574"/>
      <c r="X64" s="2574"/>
      <c r="Y64" s="2745"/>
      <c r="AK64" s="184"/>
      <c r="AL64" s="185"/>
      <c r="AM64" s="181"/>
      <c r="AN64" s="181"/>
      <c r="AO64" s="181"/>
      <c r="AP64" s="181"/>
      <c r="AQ64" s="81"/>
      <c r="AR64" s="81"/>
      <c r="AS64" s="81"/>
      <c r="AT64" s="81"/>
      <c r="AU64" s="81"/>
      <c r="AV64" s="81"/>
      <c r="AW64" s="81"/>
      <c r="AX64" s="81"/>
      <c r="AY64" s="81"/>
    </row>
    <row r="65" spans="1:54" s="9" customFormat="1" ht="22.5" customHeight="1" thickBot="1" x14ac:dyDescent="0.3">
      <c r="A65" s="1259">
        <v>1</v>
      </c>
      <c r="B65" s="2779">
        <f>B9</f>
        <v>2</v>
      </c>
      <c r="C65" s="2779"/>
      <c r="D65" s="2780"/>
      <c r="E65" s="1260">
        <f>E9</f>
        <v>3</v>
      </c>
      <c r="F65" s="1261">
        <f>F9</f>
        <v>4</v>
      </c>
      <c r="G65" s="2548">
        <f t="shared" ref="G65:P65" si="6">G9</f>
        <v>5</v>
      </c>
      <c r="H65" s="2549"/>
      <c r="I65" s="2548">
        <f>I9</f>
        <v>6</v>
      </c>
      <c r="J65" s="2549"/>
      <c r="K65" s="1262">
        <f t="shared" si="6"/>
        <v>7</v>
      </c>
      <c r="L65" s="1263">
        <f t="shared" si="6"/>
        <v>8</v>
      </c>
      <c r="M65" s="1264">
        <f t="shared" si="6"/>
        <v>9</v>
      </c>
      <c r="N65" s="1264">
        <f t="shared" si="6"/>
        <v>10</v>
      </c>
      <c r="O65" s="1264">
        <f t="shared" si="6"/>
        <v>11</v>
      </c>
      <c r="P65" s="1265">
        <f t="shared" si="6"/>
        <v>12</v>
      </c>
      <c r="Q65" s="1263">
        <v>13</v>
      </c>
      <c r="R65" s="1264">
        <v>14</v>
      </c>
      <c r="S65" s="1266">
        <v>15</v>
      </c>
      <c r="T65" s="2765">
        <v>16</v>
      </c>
      <c r="U65" s="2766"/>
      <c r="V65" s="2766">
        <v>17</v>
      </c>
      <c r="W65" s="2766"/>
      <c r="X65" s="1264">
        <v>18</v>
      </c>
      <c r="Y65" s="1266">
        <v>19</v>
      </c>
      <c r="AK65" s="84"/>
      <c r="AL65" s="84"/>
      <c r="AM65" s="84"/>
      <c r="AN65" s="84"/>
      <c r="AO65" s="144"/>
      <c r="AP65" s="84"/>
      <c r="AQ65" s="81"/>
      <c r="AR65" s="81"/>
      <c r="AS65" s="81"/>
      <c r="AT65" s="81"/>
      <c r="AU65" s="81"/>
      <c r="AV65" s="81"/>
      <c r="AW65" s="81"/>
      <c r="AX65" s="81"/>
      <c r="AY65" s="81"/>
    </row>
    <row r="66" spans="1:54" s="9" customFormat="1" ht="42" customHeight="1" x14ac:dyDescent="0.25">
      <c r="A66" s="1267" t="s">
        <v>466</v>
      </c>
      <c r="B66" s="2781" t="s">
        <v>477</v>
      </c>
      <c r="C66" s="2781"/>
      <c r="D66" s="2653"/>
      <c r="E66" s="1268">
        <v>1405</v>
      </c>
      <c r="F66" s="1269">
        <v>0</v>
      </c>
      <c r="G66" s="2567">
        <v>0</v>
      </c>
      <c r="H66" s="2568"/>
      <c r="I66" s="2569">
        <v>0</v>
      </c>
      <c r="J66" s="2570"/>
      <c r="K66" s="1270">
        <f>F66-G66+I66</f>
        <v>0</v>
      </c>
      <c r="L66" s="1271">
        <f>F13+F22</f>
        <v>0</v>
      </c>
      <c r="M66" s="1272">
        <f>'Звіт   9'!H51</f>
        <v>0</v>
      </c>
      <c r="N66" s="1272">
        <f>AB13+AB22</f>
        <v>0</v>
      </c>
      <c r="O66" s="1272">
        <f>'Звіт   9'!K51</f>
        <v>0</v>
      </c>
      <c r="P66" s="1273" t="str">
        <f>IF('Звіт   4,5,6'!E39=0,"Дані не введено",IF(AND((ROUND(K66/1000,1)-ROUND(N66/1000,1))&lt;=1,(ROUND(K66/1000,1)-ROUND(N66/1000,1))&gt;=-1,(ROUND(K66/1000,1)-ROUND(O66,1))&lt;=1,(ROUND(K66/1000,1)-ROUND(O66,1))&gt;=-1,(ROUND(F66/1000,1)-ROUND(L66/1000,1))&lt;=1,(ROUND(F66/1000,1)-ROUND(L66/1000,1))&gt;=-1,(ROUND(F66/1000,1)-ROUND(M66,1))&lt;=1,(ROUND(F66/1000,1)-ROUND(M66,1))&gt;=-1),"ПРАВДА","ПОМИЛКА"))</f>
        <v>ПРАВДА</v>
      </c>
      <c r="Q66" s="1271">
        <f>R15+R24</f>
        <v>0</v>
      </c>
      <c r="R66" s="1272">
        <f>I81</f>
        <v>0</v>
      </c>
      <c r="S66" s="1071" t="str">
        <f>IF('Звіт   4,5,6'!E39=0,"Дані не введено",IF(AND(K56=1,(G66-(Q66+R66))&lt;=10,(G66-(Q66+R66))&gt;=-10),"ПРАВДА",IF(AND(K57=2,(G66-(Q66-G86+R66))&lt;=10,(G66-(Q66-G86+R66))&gt;=-10),"ПРАВДА","ПОМИЛКА")))</f>
        <v>ПРАВДА</v>
      </c>
      <c r="T66" s="2671">
        <f>M14+M23</f>
        <v>0</v>
      </c>
      <c r="U66" s="2618"/>
      <c r="V66" s="2618" t="s">
        <v>296</v>
      </c>
      <c r="W66" s="2618"/>
      <c r="X66" s="1272" t="s">
        <v>296</v>
      </c>
      <c r="Y66" s="1071" t="str">
        <f>IF('Звіт   4,5,6'!E39=0,"Дані не введено",IF(AND(K56=1,(I66-T66)&lt;=10,(I66-T66)&gt;=-10),"ПРАВДА",IF(AND(K57=2,(I66-T66+G86)&lt;=10,(I66-T66+G86)&gt;=-10),"ПРАВДА","ПОМИЛКА")))</f>
        <v>ПРАВДА</v>
      </c>
      <c r="AK66" s="188"/>
      <c r="AL66" s="188"/>
      <c r="AM66" s="188"/>
      <c r="AN66" s="188"/>
      <c r="AO66" s="188"/>
      <c r="AP66" s="189"/>
      <c r="AQ66" s="81"/>
      <c r="AR66" s="81"/>
      <c r="AS66" s="81"/>
      <c r="AT66" s="81"/>
      <c r="AU66" s="81"/>
      <c r="AV66" s="81"/>
      <c r="AW66" s="81"/>
      <c r="AX66" s="81"/>
      <c r="AY66" s="81"/>
    </row>
    <row r="67" spans="1:54" s="9" customFormat="1" ht="42" customHeight="1" x14ac:dyDescent="0.25">
      <c r="A67" s="1267" t="s">
        <v>1393</v>
      </c>
      <c r="B67" s="2592" t="s">
        <v>1395</v>
      </c>
      <c r="C67" s="2593"/>
      <c r="D67" s="2594"/>
      <c r="E67" s="1268"/>
      <c r="F67" s="1274">
        <v>0</v>
      </c>
      <c r="G67" s="2605">
        <v>0</v>
      </c>
      <c r="H67" s="2606"/>
      <c r="I67" s="2605">
        <v>0</v>
      </c>
      <c r="J67" s="2606"/>
      <c r="K67" s="1270">
        <f>F67-G67+I67</f>
        <v>0</v>
      </c>
      <c r="L67" s="2613" t="s">
        <v>296</v>
      </c>
      <c r="M67" s="2614"/>
      <c r="N67" s="2614"/>
      <c r="O67" s="2614"/>
      <c r="P67" s="2614"/>
      <c r="Q67" s="2614"/>
      <c r="R67" s="2614"/>
      <c r="S67" s="2614"/>
      <c r="T67" s="2614"/>
      <c r="U67" s="2614"/>
      <c r="V67" s="2614"/>
      <c r="W67" s="2614"/>
      <c r="X67" s="2614"/>
      <c r="Y67" s="2615"/>
      <c r="AK67" s="188"/>
      <c r="AL67" s="188"/>
      <c r="AM67" s="188"/>
      <c r="AN67" s="188"/>
      <c r="AO67" s="188"/>
      <c r="AP67" s="189"/>
      <c r="AQ67" s="81"/>
      <c r="AR67" s="81"/>
      <c r="AS67" s="81"/>
      <c r="AT67" s="81"/>
      <c r="AU67" s="81"/>
      <c r="AV67" s="81"/>
      <c r="AW67" s="81"/>
      <c r="AX67" s="81"/>
      <c r="AY67" s="81"/>
    </row>
    <row r="68" spans="1:54" s="9" customFormat="1" ht="38.25" customHeight="1" x14ac:dyDescent="0.25">
      <c r="A68" s="1267" t="s">
        <v>467</v>
      </c>
      <c r="B68" s="2598" t="s">
        <v>1213</v>
      </c>
      <c r="C68" s="2599"/>
      <c r="D68" s="2600"/>
      <c r="E68" s="1268">
        <v>1410</v>
      </c>
      <c r="F68" s="1275">
        <v>23681096</v>
      </c>
      <c r="G68" s="2563">
        <v>21500</v>
      </c>
      <c r="H68" s="2564"/>
      <c r="I68" s="2563">
        <v>0</v>
      </c>
      <c r="J68" s="2564"/>
      <c r="K68" s="1270">
        <f>F68-G68+I68+H53-F53</f>
        <v>23659596</v>
      </c>
      <c r="L68" s="1276">
        <f>G11-G12+G20-G21</f>
        <v>23681096</v>
      </c>
      <c r="M68" s="1277">
        <f>'Звіт   9'!H53</f>
        <v>23681.1</v>
      </c>
      <c r="N68" s="1277">
        <f>AC11-AC12+AC20-AC21</f>
        <v>23659596</v>
      </c>
      <c r="O68" s="1277">
        <f>'Звіт   9'!K53</f>
        <v>23659.599999999999</v>
      </c>
      <c r="P68" s="1278" t="str">
        <f>IF('Звіт   4,5,6'!E39=0,"Дані не введено",IF(AND((ROUND(K68/1000,1)-ROUND(N68/1000,1))&lt;=1,(ROUND(K68/1000,1)-ROUND(N68/1000,1))&gt;=-1,(ROUND(K68/1000,1)-ROUND(O68,1))&lt;=1,(ROUND(K68/1000,1)-ROUND(O68,1))&gt;=-1,(ROUND(F68/1000,1)-ROUND(L68/1000,1))&lt;=1,(ROUND(F68/1000,1)-ROUND(L68/1000,1))&gt;=-1,(ROUND(F68/1000,1)-ROUND(M68,1))&lt;=1,(ROUND(F68/1000,1)-ROUND(M68,1))&gt;=-1,AC10&gt;=0,AC19&gt;=0),"ПРАВДА","ПОМИЛКА"))</f>
        <v>ПРАВДА</v>
      </c>
      <c r="Q68" s="1279">
        <f>T21+T12</f>
        <v>21500</v>
      </c>
      <c r="R68" s="1280">
        <f>I80</f>
        <v>0</v>
      </c>
      <c r="S68" s="1074" t="str">
        <f>IF('Звіт   4,5,6'!E39=0,"Дані не введено",IF(AND((G68-(Q68+R68))&lt;=10,(G68-(Q68+R68))&gt;=-10),"ПРАВДА","ПОМИЛКА"))</f>
        <v>ПРАВДА</v>
      </c>
      <c r="T68" s="2624">
        <f>N17</f>
        <v>0</v>
      </c>
      <c r="U68" s="2625"/>
      <c r="V68" s="2625">
        <f>T17</f>
        <v>0</v>
      </c>
      <c r="W68" s="2625"/>
      <c r="X68" s="1280">
        <f>N20+N11</f>
        <v>0</v>
      </c>
      <c r="Y68" s="1074" t="str">
        <f>IF('Звіт   4,5,6'!E39=0,"Дані не введено",IF(AND((I68-T68)&lt;=10,(I68-T68)&gt;=-10,(T68-V68)&lt;=10,(T68-V68)&gt;=-10,(V68-X68)&lt;=10,(V68-X68)&gt;=-10,AC17=0),"ПРАВДА","ПОМИЛКА"))</f>
        <v>ПРАВДА</v>
      </c>
      <c r="AK68" s="188"/>
      <c r="AL68" s="188"/>
      <c r="AM68" s="188"/>
      <c r="AN68" s="188"/>
      <c r="AO68" s="188"/>
      <c r="AP68" s="189"/>
      <c r="AQ68" s="81"/>
      <c r="AR68" s="81"/>
      <c r="AS68" s="81"/>
      <c r="AT68" s="81"/>
      <c r="AU68" s="81"/>
      <c r="AV68" s="81"/>
      <c r="AW68" s="81"/>
      <c r="AX68" s="81"/>
      <c r="AY68" s="81"/>
    </row>
    <row r="69" spans="1:54" s="9" customFormat="1" ht="38.25" customHeight="1" x14ac:dyDescent="0.25">
      <c r="A69" s="1267" t="s">
        <v>1394</v>
      </c>
      <c r="B69" s="2592" t="s">
        <v>1395</v>
      </c>
      <c r="C69" s="2593"/>
      <c r="D69" s="2594"/>
      <c r="E69" s="1268"/>
      <c r="F69" s="1275">
        <v>0</v>
      </c>
      <c r="G69" s="2563">
        <v>0</v>
      </c>
      <c r="H69" s="2564"/>
      <c r="I69" s="2563">
        <v>0</v>
      </c>
      <c r="J69" s="2564"/>
      <c r="K69" s="1270">
        <f>F69-G69+I69</f>
        <v>0</v>
      </c>
      <c r="L69" s="2607" t="s">
        <v>296</v>
      </c>
      <c r="M69" s="2608"/>
      <c r="N69" s="2608"/>
      <c r="O69" s="2608"/>
      <c r="P69" s="2608"/>
      <c r="Q69" s="2608"/>
      <c r="R69" s="2608"/>
      <c r="S69" s="2608"/>
      <c r="T69" s="2608"/>
      <c r="U69" s="2608"/>
      <c r="V69" s="2608"/>
      <c r="W69" s="2608"/>
      <c r="X69" s="2608"/>
      <c r="Y69" s="2609"/>
      <c r="AA69" s="810"/>
      <c r="AB69" s="811"/>
      <c r="AC69" s="811"/>
      <c r="AD69" s="811"/>
      <c r="AE69" s="811"/>
      <c r="AF69" s="663"/>
      <c r="AK69" s="188"/>
      <c r="AL69" s="188"/>
      <c r="AM69" s="188"/>
      <c r="AN69" s="188"/>
      <c r="AO69" s="188"/>
      <c r="AP69" s="189"/>
      <c r="AQ69" s="81"/>
      <c r="AR69" s="81"/>
      <c r="AS69" s="81"/>
      <c r="AT69" s="81"/>
      <c r="AU69" s="81"/>
      <c r="AV69" s="81"/>
      <c r="AW69" s="81"/>
      <c r="AX69" s="81"/>
      <c r="AY69" s="81"/>
    </row>
    <row r="70" spans="1:54" s="9" customFormat="1" ht="42" customHeight="1" x14ac:dyDescent="0.25">
      <c r="A70" s="1281" t="s">
        <v>468</v>
      </c>
      <c r="B70" s="2585" t="s">
        <v>1214</v>
      </c>
      <c r="C70" s="2585"/>
      <c r="D70" s="2586"/>
      <c r="E70" s="1282">
        <v>1665</v>
      </c>
      <c r="F70" s="1239">
        <v>244911</v>
      </c>
      <c r="G70" s="2620">
        <f>89013-21898-21500+50181</f>
        <v>95796</v>
      </c>
      <c r="H70" s="2621"/>
      <c r="I70" s="2620">
        <v>45734</v>
      </c>
      <c r="J70" s="2621"/>
      <c r="K70" s="1283">
        <f>F70-G70+I70</f>
        <v>194849</v>
      </c>
      <c r="L70" s="2610"/>
      <c r="M70" s="2611"/>
      <c r="N70" s="2611"/>
      <c r="O70" s="2611"/>
      <c r="P70" s="2611"/>
      <c r="Q70" s="2611"/>
      <c r="R70" s="2611"/>
      <c r="S70" s="2611"/>
      <c r="T70" s="2611"/>
      <c r="U70" s="2611"/>
      <c r="V70" s="2611"/>
      <c r="W70" s="2611"/>
      <c r="X70" s="2611"/>
      <c r="Y70" s="2612"/>
      <c r="AK70" s="81"/>
      <c r="AL70" s="81"/>
      <c r="AM70" s="81"/>
      <c r="AN70" s="81"/>
      <c r="AO70" s="81"/>
      <c r="AP70" s="81"/>
      <c r="AQ70" s="81"/>
      <c r="AR70" s="81"/>
      <c r="AS70" s="81"/>
      <c r="AT70" s="81"/>
      <c r="AU70" s="81"/>
      <c r="AV70" s="81"/>
      <c r="AW70" s="81"/>
      <c r="AX70" s="81"/>
      <c r="AY70" s="81"/>
    </row>
    <row r="71" spans="1:54" s="9" customFormat="1" ht="58.9" customHeight="1" thickBot="1" x14ac:dyDescent="0.3">
      <c r="A71" s="1260" t="s">
        <v>471</v>
      </c>
      <c r="B71" s="2587" t="s">
        <v>499</v>
      </c>
      <c r="C71" s="2587"/>
      <c r="D71" s="2588"/>
      <c r="E71" s="1284"/>
      <c r="F71" s="1285">
        <v>244911</v>
      </c>
      <c r="G71" s="2843">
        <f>89013-21898-21500+50181</f>
        <v>95796</v>
      </c>
      <c r="H71" s="2844"/>
      <c r="I71" s="2843">
        <v>45734</v>
      </c>
      <c r="J71" s="2844"/>
      <c r="K71" s="1286">
        <f>F71-G71+I71</f>
        <v>194849</v>
      </c>
      <c r="L71" s="1287">
        <f>I11-I12+I20-I21</f>
        <v>244911</v>
      </c>
      <c r="M71" s="1288">
        <f>'Звіт   9'!H87</f>
        <v>244.9</v>
      </c>
      <c r="N71" s="1288">
        <f>AD11-AD12+AD20-AD21</f>
        <v>194849</v>
      </c>
      <c r="O71" s="1288">
        <f>'Звіт   9'!K87</f>
        <v>194.8</v>
      </c>
      <c r="P71" s="1289" t="str">
        <f>IF('Звіт   4,5,6'!E39=0,"Дані не введено",IF(AND((ROUND(K71/1000,1)-ROUND(N71/1000,1))&lt;=1,(ROUND(K71/1000,1)-ROUND(N71/1000,1))&gt;=-1,(ROUND(K71/1000,1)-ROUND(O71,1))&lt;=1,(ROUND(K71/1000,1)-ROUND(O71,1))&gt;=-1,(ROUND(F71/1000,1)-ROUND(L71/1000,1))&lt;=1,(ROUND(F71/1000,1)-ROUND(L71/1000,1))&gt;=-1,(ROUND(F71/1000,1)-ROUND(M71,1))&lt;=1,(ROUND(F71/1000,1)-ROUND(M71,1))&gt;=-1,AD10&gt;=0,AD19&gt;=0),"ПРАВДА","ПОМИЛКА"))</f>
        <v>ПРАВДА</v>
      </c>
      <c r="Q71" s="1287">
        <f>V21+V12</f>
        <v>95796</v>
      </c>
      <c r="R71" s="1288">
        <f>I79</f>
        <v>0</v>
      </c>
      <c r="S71" s="1290" t="str">
        <f>IF('Звіт   4,5,6'!E39=0,"Дані не введено",IF(AND((G71-(Q71+R71))&lt;=10,(G71-(Q71+R71))&gt;=-10),"ПРАВДА","ПОМИЛКА"))</f>
        <v>ПРАВДА</v>
      </c>
      <c r="T71" s="2752">
        <f>V17</f>
        <v>45734</v>
      </c>
      <c r="U71" s="2619"/>
      <c r="V71" s="2619">
        <f>O20+O11</f>
        <v>45734</v>
      </c>
      <c r="W71" s="2619"/>
      <c r="X71" s="1288" t="s">
        <v>296</v>
      </c>
      <c r="Y71" s="1290" t="str">
        <f>IF('Звіт   4,5,6'!E39=0,"Дані не введено",IF(AND((I71-V71)&lt;=10,(I71-V71)&gt;=-10,(T71-V71)&lt;=10,(T71-V71)&gt;=-10),"ПРАВДА","ПОМИЛКА"))</f>
        <v>ПРАВДА</v>
      </c>
      <c r="Z71" s="46"/>
      <c r="AB71" s="248"/>
      <c r="AC71" s="248"/>
      <c r="AD71" s="248"/>
      <c r="AE71" s="248"/>
      <c r="AF71" s="248"/>
      <c r="AK71" s="81"/>
      <c r="AL71" s="81"/>
      <c r="AM71" s="81"/>
      <c r="AN71" s="81"/>
      <c r="AO71" s="81"/>
      <c r="AP71" s="81"/>
      <c r="AQ71" s="81"/>
      <c r="AR71" s="81"/>
      <c r="AS71" s="81"/>
      <c r="AT71" s="81"/>
      <c r="AU71" s="81"/>
      <c r="AV71" s="81"/>
      <c r="AW71" s="81"/>
      <c r="AX71" s="81"/>
      <c r="AY71" s="81"/>
    </row>
    <row r="72" spans="1:54" s="9" customFormat="1" ht="42.75" customHeight="1" x14ac:dyDescent="0.3">
      <c r="A72" s="1291" t="s">
        <v>504</v>
      </c>
      <c r="B72" s="238"/>
      <c r="C72" s="238"/>
      <c r="D72" s="238"/>
      <c r="E72" s="238"/>
      <c r="F72" s="238"/>
      <c r="O72" s="46"/>
      <c r="P72" s="46"/>
      <c r="S72" s="46"/>
      <c r="V72" s="314"/>
      <c r="W72" s="314"/>
      <c r="X72" s="313"/>
      <c r="Y72" s="46"/>
      <c r="AK72" s="248"/>
      <c r="AL72" s="248"/>
      <c r="AM72" s="144"/>
      <c r="AN72" s="84"/>
      <c r="AO72" s="81"/>
      <c r="AP72" s="81"/>
      <c r="AQ72" s="81"/>
      <c r="AR72" s="81"/>
      <c r="AS72" s="81"/>
      <c r="AT72" s="81"/>
      <c r="AU72" s="81"/>
      <c r="AV72" s="81"/>
      <c r="AW72" s="81"/>
      <c r="AX72" s="81"/>
      <c r="AY72" s="81"/>
      <c r="AZ72" s="81"/>
      <c r="BA72" s="81"/>
      <c r="BB72" s="81"/>
    </row>
    <row r="73" spans="1:54" s="9" customFormat="1" ht="71.25" customHeight="1" x14ac:dyDescent="0.3">
      <c r="A73" s="2551" t="s">
        <v>1600</v>
      </c>
      <c r="B73" s="2551"/>
      <c r="C73" s="2551"/>
      <c r="D73" s="2551"/>
      <c r="E73" s="2551"/>
      <c r="F73" s="2551"/>
      <c r="G73" s="2551"/>
      <c r="H73" s="2551"/>
      <c r="I73" s="2551"/>
      <c r="J73" s="2551"/>
      <c r="M73" s="1318"/>
      <c r="N73" s="975"/>
      <c r="O73" s="976"/>
      <c r="P73" s="976"/>
      <c r="Q73" s="975"/>
      <c r="R73" s="975"/>
      <c r="S73" s="976"/>
      <c r="T73" s="975"/>
      <c r="U73" s="975"/>
      <c r="V73" s="982"/>
      <c r="W73" s="982"/>
      <c r="X73" s="983"/>
      <c r="Y73" s="976"/>
      <c r="AK73" s="248"/>
      <c r="AL73" s="248"/>
      <c r="AM73" s="144"/>
      <c r="AN73" s="84"/>
      <c r="AO73" s="81"/>
      <c r="AP73" s="81"/>
      <c r="AQ73" s="81"/>
      <c r="AR73" s="81"/>
      <c r="AS73" s="81"/>
      <c r="AT73" s="81"/>
      <c r="AU73" s="81"/>
      <c r="AV73" s="81"/>
      <c r="AW73" s="81"/>
      <c r="AX73" s="81"/>
      <c r="AY73" s="81"/>
      <c r="AZ73" s="81"/>
      <c r="BA73" s="81"/>
      <c r="BB73" s="81"/>
    </row>
    <row r="74" spans="1:54" s="9" customFormat="1" ht="28.35" customHeight="1" x14ac:dyDescent="0.3">
      <c r="A74" s="602" t="s">
        <v>38</v>
      </c>
      <c r="B74" s="2446" t="s">
        <v>7</v>
      </c>
      <c r="C74" s="2446"/>
      <c r="D74" s="2446"/>
      <c r="E74" s="2446"/>
      <c r="F74" s="2446"/>
      <c r="G74" s="2446"/>
      <c r="H74" s="2446"/>
      <c r="I74" s="2553" t="s">
        <v>8</v>
      </c>
      <c r="J74" s="2553"/>
      <c r="K74" s="2854" t="s">
        <v>1217</v>
      </c>
      <c r="L74" s="2855"/>
      <c r="M74" s="975"/>
      <c r="N74" s="975"/>
      <c r="O74" s="976"/>
      <c r="P74" s="976"/>
      <c r="Q74" s="975"/>
      <c r="R74" s="975"/>
      <c r="S74" s="976"/>
      <c r="T74" s="975"/>
      <c r="U74" s="975"/>
      <c r="V74" s="982"/>
      <c r="W74" s="982"/>
      <c r="X74" s="983"/>
      <c r="Y74" s="976"/>
      <c r="AK74" s="248"/>
      <c r="AL74" s="248"/>
      <c r="AM74" s="144"/>
      <c r="AN74" s="84"/>
      <c r="AO74" s="81"/>
      <c r="AP74" s="81"/>
      <c r="AQ74" s="81"/>
      <c r="AR74" s="81"/>
      <c r="AS74" s="81"/>
      <c r="AT74" s="81"/>
      <c r="AU74" s="81"/>
      <c r="AV74" s="81"/>
      <c r="AW74" s="81"/>
      <c r="AX74" s="81"/>
      <c r="AY74" s="81"/>
      <c r="AZ74" s="81"/>
      <c r="BA74" s="81"/>
      <c r="BB74" s="81"/>
    </row>
    <row r="75" spans="1:54" s="9" customFormat="1" ht="28.35" customHeight="1" x14ac:dyDescent="0.3">
      <c r="A75" s="602">
        <v>1</v>
      </c>
      <c r="B75" s="2552">
        <v>2</v>
      </c>
      <c r="C75" s="2552"/>
      <c r="D75" s="2552"/>
      <c r="E75" s="2552"/>
      <c r="F75" s="2552"/>
      <c r="G75" s="2552"/>
      <c r="H75" s="2552"/>
      <c r="I75" s="2552">
        <v>3</v>
      </c>
      <c r="J75" s="2552"/>
      <c r="K75" s="2854"/>
      <c r="L75" s="2855"/>
      <c r="M75" s="975"/>
      <c r="N75" s="975"/>
      <c r="O75" s="976"/>
      <c r="P75" s="976"/>
      <c r="Q75" s="975"/>
      <c r="R75" s="975"/>
      <c r="S75" s="976"/>
      <c r="T75" s="975"/>
      <c r="U75" s="975"/>
      <c r="V75" s="982"/>
      <c r="W75" s="982"/>
      <c r="X75" s="983"/>
      <c r="Y75" s="976"/>
      <c r="AK75" s="248"/>
      <c r="AL75" s="248"/>
      <c r="AM75" s="144"/>
      <c r="AN75" s="84"/>
      <c r="AO75" s="81"/>
      <c r="AP75" s="81"/>
      <c r="AQ75" s="81"/>
      <c r="AR75" s="81"/>
      <c r="AS75" s="81"/>
      <c r="AT75" s="81"/>
      <c r="AU75" s="81"/>
      <c r="AV75" s="81"/>
      <c r="AW75" s="81"/>
      <c r="AX75" s="81"/>
      <c r="AY75" s="81"/>
      <c r="AZ75" s="81"/>
      <c r="BA75" s="81"/>
      <c r="BB75" s="81"/>
    </row>
    <row r="76" spans="1:54" s="9" customFormat="1" ht="42.75" customHeight="1" x14ac:dyDescent="0.3">
      <c r="A76" s="602" t="s">
        <v>495</v>
      </c>
      <c r="B76" s="2550" t="s">
        <v>849</v>
      </c>
      <c r="C76" s="2550"/>
      <c r="D76" s="2550"/>
      <c r="E76" s="2550"/>
      <c r="F76" s="2550"/>
      <c r="G76" s="2550"/>
      <c r="H76" s="2550"/>
      <c r="I76" s="2546">
        <f>1340224-1340224</f>
        <v>0</v>
      </c>
      <c r="J76" s="2547"/>
      <c r="M76" s="975"/>
      <c r="N76" s="975"/>
      <c r="O76" s="976"/>
      <c r="P76" s="976"/>
      <c r="Q76" s="975"/>
      <c r="R76" s="975"/>
      <c r="S76" s="976"/>
      <c r="T76" s="975"/>
      <c r="U76" s="975"/>
      <c r="V76" s="982"/>
      <c r="W76" s="982"/>
      <c r="X76" s="983"/>
      <c r="Y76" s="976"/>
      <c r="AK76" s="248"/>
      <c r="AL76" s="248"/>
      <c r="AM76" s="144"/>
      <c r="AN76" s="84"/>
      <c r="AO76" s="81"/>
      <c r="AP76" s="81"/>
      <c r="AQ76" s="81"/>
      <c r="AR76" s="81"/>
      <c r="AS76" s="81"/>
      <c r="AT76" s="81"/>
      <c r="AU76" s="81"/>
      <c r="AV76" s="81"/>
      <c r="AW76" s="81"/>
      <c r="AX76" s="81"/>
      <c r="AY76" s="81"/>
      <c r="AZ76" s="81"/>
      <c r="BA76" s="81"/>
      <c r="BB76" s="81"/>
    </row>
    <row r="77" spans="1:54" s="9" customFormat="1" ht="42.75" customHeight="1" x14ac:dyDescent="0.3">
      <c r="A77" s="602" t="s">
        <v>785</v>
      </c>
      <c r="B77" s="2550" t="s">
        <v>850</v>
      </c>
      <c r="C77" s="2550"/>
      <c r="D77" s="2550"/>
      <c r="E77" s="2550"/>
      <c r="F77" s="2550"/>
      <c r="G77" s="2550"/>
      <c r="H77" s="2550"/>
      <c r="I77" s="2546">
        <v>0</v>
      </c>
      <c r="J77" s="2547"/>
      <c r="M77" s="975"/>
      <c r="N77" s="975"/>
      <c r="O77" s="976"/>
      <c r="P77" s="976"/>
      <c r="Q77" s="975"/>
      <c r="R77" s="975"/>
      <c r="S77" s="976"/>
      <c r="T77" s="975"/>
      <c r="U77" s="975"/>
      <c r="V77" s="982"/>
      <c r="W77" s="982"/>
      <c r="X77" s="983"/>
      <c r="Y77" s="976"/>
      <c r="AK77" s="248"/>
      <c r="AL77" s="248"/>
      <c r="AM77" s="144"/>
      <c r="AN77" s="84"/>
      <c r="AO77" s="81"/>
      <c r="AP77" s="81"/>
      <c r="AQ77" s="81"/>
      <c r="AR77" s="81"/>
      <c r="AS77" s="81"/>
      <c r="AT77" s="81"/>
      <c r="AU77" s="81"/>
      <c r="AV77" s="81"/>
      <c r="AW77" s="81"/>
      <c r="AX77" s="81"/>
      <c r="AY77" s="81"/>
      <c r="AZ77" s="81"/>
      <c r="BA77" s="81"/>
      <c r="BB77" s="81"/>
    </row>
    <row r="78" spans="1:54" s="9" customFormat="1" ht="36.75" customHeight="1" x14ac:dyDescent="0.3">
      <c r="A78" s="602" t="s">
        <v>866</v>
      </c>
      <c r="B78" s="2550" t="s">
        <v>867</v>
      </c>
      <c r="C78" s="2550"/>
      <c r="D78" s="2550"/>
      <c r="E78" s="2550"/>
      <c r="F78" s="2550"/>
      <c r="G78" s="2550"/>
      <c r="H78" s="2550"/>
      <c r="I78" s="2546">
        <v>0</v>
      </c>
      <c r="J78" s="2547"/>
      <c r="M78" s="975"/>
      <c r="N78" s="975"/>
      <c r="O78" s="976"/>
      <c r="P78" s="976"/>
      <c r="Q78" s="975"/>
      <c r="R78" s="975"/>
      <c r="S78" s="976"/>
      <c r="T78" s="975"/>
      <c r="U78" s="975"/>
      <c r="V78" s="982"/>
      <c r="W78" s="982"/>
      <c r="X78" s="983"/>
      <c r="Y78" s="976"/>
      <c r="AK78" s="248"/>
      <c r="AL78" s="248"/>
      <c r="AM78" s="144"/>
      <c r="AN78" s="84"/>
      <c r="AO78" s="81"/>
      <c r="AP78" s="81"/>
      <c r="AQ78" s="81"/>
      <c r="AR78" s="81"/>
      <c r="AS78" s="81"/>
      <c r="AT78" s="81"/>
      <c r="AU78" s="81"/>
      <c r="AV78" s="81"/>
      <c r="AW78" s="81"/>
      <c r="AX78" s="81"/>
      <c r="AY78" s="81"/>
      <c r="AZ78" s="81"/>
      <c r="BA78" s="81"/>
      <c r="BB78" s="81"/>
    </row>
    <row r="79" spans="1:54" s="9" customFormat="1" ht="46.5" customHeight="1" x14ac:dyDescent="0.3">
      <c r="A79" s="602" t="s">
        <v>496</v>
      </c>
      <c r="B79" s="2550" t="s">
        <v>721</v>
      </c>
      <c r="C79" s="2550"/>
      <c r="D79" s="2550"/>
      <c r="E79" s="2550"/>
      <c r="F79" s="2550"/>
      <c r="G79" s="2550"/>
      <c r="H79" s="2550"/>
      <c r="I79" s="2546">
        <v>0</v>
      </c>
      <c r="J79" s="2547"/>
      <c r="M79" s="975"/>
      <c r="N79" s="975"/>
      <c r="O79" s="976"/>
      <c r="P79" s="976"/>
      <c r="Q79" s="975"/>
      <c r="R79" s="975"/>
      <c r="S79" s="976"/>
      <c r="T79" s="975"/>
      <c r="U79" s="975"/>
      <c r="V79" s="982"/>
      <c r="W79" s="982"/>
      <c r="X79" s="983"/>
      <c r="Y79" s="976"/>
      <c r="AK79" s="248"/>
      <c r="AL79" s="248"/>
      <c r="AM79" s="144"/>
      <c r="AN79" s="84"/>
      <c r="AO79" s="81"/>
      <c r="AP79" s="81"/>
      <c r="AQ79" s="81"/>
      <c r="AR79" s="81"/>
      <c r="AS79" s="81"/>
      <c r="AT79" s="81"/>
      <c r="AU79" s="81"/>
      <c r="AV79" s="81"/>
      <c r="AW79" s="81"/>
      <c r="AX79" s="81"/>
      <c r="AY79" s="81"/>
      <c r="AZ79" s="81"/>
      <c r="BA79" s="81"/>
      <c r="BB79" s="81"/>
    </row>
    <row r="80" spans="1:54" s="9" customFormat="1" ht="46.5" customHeight="1" x14ac:dyDescent="0.3">
      <c r="A80" s="602" t="s">
        <v>497</v>
      </c>
      <c r="B80" s="2550" t="s">
        <v>722</v>
      </c>
      <c r="C80" s="2550"/>
      <c r="D80" s="2550"/>
      <c r="E80" s="2550"/>
      <c r="F80" s="2550"/>
      <c r="G80" s="2550"/>
      <c r="H80" s="2550"/>
      <c r="I80" s="2546">
        <v>0</v>
      </c>
      <c r="J80" s="2547"/>
      <c r="M80" s="975"/>
      <c r="N80" s="975"/>
      <c r="O80" s="976"/>
      <c r="P80" s="976"/>
      <c r="Q80" s="975"/>
      <c r="R80" s="975"/>
      <c r="S80" s="976"/>
      <c r="T80" s="975"/>
      <c r="U80" s="975"/>
      <c r="V80" s="982"/>
      <c r="W80" s="982"/>
      <c r="X80" s="983"/>
      <c r="Y80" s="976"/>
      <c r="AK80" s="248"/>
      <c r="AL80" s="248"/>
      <c r="AM80" s="144"/>
      <c r="AN80" s="84"/>
      <c r="AO80" s="81"/>
      <c r="AP80" s="81"/>
      <c r="AQ80" s="81"/>
      <c r="AR80" s="81"/>
      <c r="AS80" s="81"/>
      <c r="AT80" s="81"/>
      <c r="AU80" s="81"/>
      <c r="AV80" s="81"/>
      <c r="AW80" s="81"/>
      <c r="AX80" s="81"/>
      <c r="AY80" s="81"/>
      <c r="AZ80" s="81"/>
      <c r="BA80" s="81"/>
      <c r="BB80" s="81"/>
    </row>
    <row r="81" spans="1:54" s="9" customFormat="1" ht="36.75" customHeight="1" x14ac:dyDescent="0.3">
      <c r="A81" s="602" t="s">
        <v>498</v>
      </c>
      <c r="B81" s="2550" t="s">
        <v>1377</v>
      </c>
      <c r="C81" s="2550"/>
      <c r="D81" s="2550"/>
      <c r="E81" s="2550"/>
      <c r="F81" s="2550"/>
      <c r="G81" s="2550"/>
      <c r="H81" s="2550"/>
      <c r="I81" s="2546">
        <v>0</v>
      </c>
      <c r="J81" s="2547"/>
      <c r="M81" s="975"/>
      <c r="N81" s="975"/>
      <c r="O81" s="976"/>
      <c r="P81" s="976"/>
      <c r="Q81" s="975"/>
      <c r="R81" s="975"/>
      <c r="S81" s="976"/>
      <c r="T81" s="975"/>
      <c r="U81" s="975"/>
      <c r="V81" s="982"/>
      <c r="W81" s="982"/>
      <c r="X81" s="983"/>
      <c r="Y81" s="976"/>
      <c r="AK81" s="248"/>
      <c r="AL81" s="248"/>
      <c r="AM81" s="144"/>
      <c r="AN81" s="84"/>
      <c r="AO81" s="81"/>
      <c r="AP81" s="81"/>
      <c r="AQ81" s="81"/>
      <c r="AR81" s="81"/>
      <c r="AS81" s="81"/>
      <c r="AT81" s="81"/>
      <c r="AU81" s="81"/>
      <c r="AV81" s="81"/>
      <c r="AW81" s="81"/>
      <c r="AX81" s="81"/>
      <c r="AY81" s="81"/>
      <c r="AZ81" s="81"/>
      <c r="BA81" s="81"/>
      <c r="BB81" s="81"/>
    </row>
    <row r="82" spans="1:54" s="9" customFormat="1" ht="28.35" customHeight="1" x14ac:dyDescent="0.3">
      <c r="A82" s="248" t="s">
        <v>617</v>
      </c>
      <c r="M82" s="975"/>
      <c r="N82" s="975"/>
      <c r="O82" s="976"/>
      <c r="P82" s="976"/>
      <c r="Q82" s="975"/>
      <c r="R82" s="975"/>
      <c r="S82" s="976"/>
      <c r="T82" s="975"/>
      <c r="U82" s="975"/>
      <c r="V82" s="982"/>
      <c r="W82" s="982"/>
      <c r="X82" s="983"/>
      <c r="Y82" s="976"/>
      <c r="AK82" s="248"/>
      <c r="AL82" s="248"/>
      <c r="AM82" s="144"/>
      <c r="AN82" s="84"/>
      <c r="AO82" s="81"/>
      <c r="AP82" s="81"/>
      <c r="AQ82" s="81"/>
      <c r="AR82" s="81"/>
      <c r="AS82" s="81"/>
      <c r="AT82" s="81"/>
      <c r="AU82" s="81"/>
      <c r="AV82" s="81"/>
      <c r="AW82" s="81"/>
      <c r="AX82" s="81"/>
      <c r="AY82" s="81"/>
      <c r="AZ82" s="81"/>
      <c r="BA82" s="81"/>
      <c r="BB82" s="81"/>
    </row>
    <row r="83" spans="1:54" s="9" customFormat="1" ht="28.35" customHeight="1" x14ac:dyDescent="0.3">
      <c r="A83" s="238"/>
      <c r="B83" s="238"/>
      <c r="C83" s="238"/>
      <c r="D83" s="238"/>
      <c r="E83" s="238"/>
      <c r="F83" s="238"/>
      <c r="M83" s="975"/>
      <c r="N83" s="975"/>
      <c r="O83" s="976"/>
      <c r="P83" s="976"/>
      <c r="Q83" s="975"/>
      <c r="R83" s="975"/>
      <c r="S83" s="976"/>
      <c r="T83" s="975"/>
      <c r="U83" s="975"/>
      <c r="V83" s="982"/>
      <c r="W83" s="982"/>
      <c r="X83" s="983"/>
      <c r="Y83" s="976"/>
      <c r="AK83" s="248"/>
      <c r="AL83" s="248"/>
      <c r="AM83" s="144"/>
      <c r="AN83" s="84"/>
      <c r="AO83" s="81"/>
      <c r="AP83" s="81"/>
      <c r="AQ83" s="81"/>
      <c r="AR83" s="81"/>
      <c r="AS83" s="81"/>
      <c r="AT83" s="81"/>
      <c r="AU83" s="81"/>
      <c r="AV83" s="81"/>
      <c r="AW83" s="81"/>
      <c r="AX83" s="81"/>
      <c r="AY83" s="81"/>
      <c r="AZ83" s="81"/>
      <c r="BA83" s="81"/>
      <c r="BB83" s="81"/>
    </row>
    <row r="84" spans="1:54" s="9" customFormat="1" ht="33" customHeight="1" x14ac:dyDescent="0.3">
      <c r="A84" s="613" t="s">
        <v>1374</v>
      </c>
      <c r="B84" s="236"/>
      <c r="C84" s="14"/>
      <c r="D84" s="14"/>
      <c r="E84" s="237"/>
      <c r="F84" s="237"/>
      <c r="G84" s="1292" t="s">
        <v>1217</v>
      </c>
      <c r="H84" s="237"/>
      <c r="I84" s="237"/>
      <c r="J84" s="237"/>
      <c r="K84" s="237"/>
      <c r="L84" s="237"/>
      <c r="M84" s="975"/>
      <c r="N84" s="975"/>
      <c r="O84" s="976"/>
      <c r="P84" s="975"/>
      <c r="Q84" s="975"/>
      <c r="R84" s="975"/>
      <c r="S84" s="977"/>
      <c r="T84" s="976"/>
      <c r="U84" s="975"/>
      <c r="V84" s="975"/>
      <c r="W84" s="975"/>
      <c r="X84" s="975"/>
      <c r="Y84" s="975"/>
      <c r="AK84" s="81"/>
      <c r="AL84" s="81"/>
      <c r="AM84" s="81"/>
      <c r="AN84" s="81"/>
      <c r="AO84" s="81"/>
      <c r="AP84" s="81"/>
      <c r="AQ84" s="81"/>
      <c r="AR84" s="81"/>
      <c r="AS84" s="81"/>
      <c r="AT84" s="81"/>
    </row>
    <row r="85" spans="1:54" s="9" customFormat="1" ht="53.25" customHeight="1" x14ac:dyDescent="0.35">
      <c r="A85" s="1293" t="s">
        <v>542</v>
      </c>
      <c r="B85" s="2838" t="s">
        <v>1601</v>
      </c>
      <c r="C85" s="2838"/>
      <c r="D85" s="2838"/>
      <c r="E85" s="2838"/>
      <c r="F85" s="2838"/>
      <c r="G85" s="1294">
        <f>G66</f>
        <v>0</v>
      </c>
      <c r="H85" s="2601" t="str">
        <f>IF('Звіт   4,5,6'!E39=0,"Дані не введено",IF(AND(J87="ПРАВДА",K56=1,G85=(G86+G87+G88)),"ПРАВДА",IF(AND(J87="ПРАВДА",K57=2,G85=(G87+G88)),"ПРАВДА","ПОМИЛКА")))</f>
        <v>ПРАВДА</v>
      </c>
      <c r="I85" s="2601"/>
      <c r="J85" s="1295"/>
      <c r="K85" s="1295"/>
      <c r="M85" s="975"/>
      <c r="N85" s="975"/>
      <c r="O85" s="975"/>
      <c r="P85" s="978"/>
      <c r="Q85" s="978"/>
      <c r="R85" s="978"/>
      <c r="S85" s="978"/>
      <c r="T85" s="978"/>
      <c r="U85" s="978"/>
      <c r="V85" s="979"/>
      <c r="W85" s="979"/>
      <c r="X85" s="979"/>
      <c r="Y85" s="979"/>
      <c r="Z85" s="193"/>
      <c r="AA85" s="193"/>
      <c r="AB85" s="249"/>
      <c r="AC85" s="249"/>
      <c r="AD85" s="249"/>
      <c r="AE85" s="249"/>
      <c r="AF85" s="249"/>
      <c r="AG85" s="249"/>
      <c r="AH85" s="249"/>
      <c r="AI85" s="249"/>
      <c r="AJ85" s="249"/>
      <c r="AK85" s="249"/>
      <c r="AL85" s="249"/>
      <c r="AM85" s="249"/>
      <c r="AN85" s="81"/>
      <c r="AO85" s="81"/>
      <c r="AP85" s="81"/>
      <c r="AQ85" s="81"/>
      <c r="AR85" s="81"/>
      <c r="AS85" s="81"/>
      <c r="AT85" s="81"/>
    </row>
    <row r="86" spans="1:54" s="9" customFormat="1" ht="85.5" customHeight="1" x14ac:dyDescent="0.35">
      <c r="A86" s="1293" t="s">
        <v>1215</v>
      </c>
      <c r="B86" s="2838" t="s">
        <v>1608</v>
      </c>
      <c r="C86" s="2838"/>
      <c r="D86" s="2838"/>
      <c r="E86" s="2838"/>
      <c r="F86" s="2838"/>
      <c r="G86" s="1296">
        <v>0</v>
      </c>
      <c r="H86" s="873" t="s">
        <v>1563</v>
      </c>
      <c r="I86" s="665"/>
      <c r="J86" s="665"/>
      <c r="K86" s="665"/>
      <c r="M86" s="975"/>
      <c r="N86" s="975"/>
      <c r="O86" s="975"/>
      <c r="P86" s="975"/>
      <c r="Q86" s="975"/>
      <c r="R86" s="975"/>
      <c r="S86" s="978"/>
      <c r="T86" s="978"/>
      <c r="U86" s="978"/>
      <c r="V86" s="979"/>
      <c r="W86" s="979"/>
      <c r="X86" s="979"/>
      <c r="Y86" s="979"/>
      <c r="Z86" s="193"/>
      <c r="AA86" s="193"/>
      <c r="AB86" s="249"/>
      <c r="AC86" s="249"/>
      <c r="AD86" s="249"/>
      <c r="AE86" s="249"/>
      <c r="AF86" s="249"/>
      <c r="AG86" s="249"/>
      <c r="AH86" s="249"/>
      <c r="AI86" s="249"/>
      <c r="AJ86" s="249"/>
      <c r="AK86" s="249"/>
      <c r="AL86" s="249"/>
      <c r="AM86" s="249"/>
      <c r="AN86" s="81"/>
      <c r="AO86" s="81"/>
      <c r="AP86" s="81"/>
      <c r="AQ86" s="81"/>
      <c r="AR86" s="81"/>
      <c r="AS86" s="81"/>
      <c r="AT86" s="81"/>
    </row>
    <row r="87" spans="1:54" s="9" customFormat="1" ht="64.5" customHeight="1" x14ac:dyDescent="0.35">
      <c r="A87" s="1293" t="s">
        <v>1216</v>
      </c>
      <c r="B87" s="2838" t="s">
        <v>1609</v>
      </c>
      <c r="C87" s="2838"/>
      <c r="D87" s="2838"/>
      <c r="E87" s="2838"/>
      <c r="F87" s="2838"/>
      <c r="G87" s="1297">
        <f>R24+R15-G86</f>
        <v>0</v>
      </c>
      <c r="H87" s="665" t="s">
        <v>1378</v>
      </c>
      <c r="I87" s="1295"/>
      <c r="J87" s="1510" t="str">
        <f>IF(G87&lt;0,"ПОМИЛКА","ПРАВДА")</f>
        <v>ПРАВДА</v>
      </c>
      <c r="K87" s="1295"/>
      <c r="M87" s="975"/>
      <c r="N87" s="975"/>
      <c r="O87" s="975"/>
      <c r="P87" s="978"/>
      <c r="Q87" s="978"/>
      <c r="R87" s="978"/>
      <c r="S87" s="978"/>
      <c r="T87" s="978"/>
      <c r="U87" s="978"/>
      <c r="V87" s="979"/>
      <c r="W87" s="979"/>
      <c r="X87" s="979"/>
      <c r="Y87" s="979"/>
      <c r="Z87" s="193"/>
      <c r="AA87" s="193"/>
      <c r="AB87" s="249"/>
      <c r="AC87" s="249"/>
      <c r="AD87" s="249"/>
      <c r="AE87" s="249"/>
      <c r="AF87" s="249"/>
      <c r="AG87" s="249"/>
      <c r="AH87" s="249"/>
      <c r="AI87" s="249"/>
      <c r="AJ87" s="249"/>
      <c r="AK87" s="249"/>
      <c r="AL87" s="249"/>
      <c r="AM87" s="249"/>
      <c r="AN87" s="81"/>
      <c r="AO87" s="81"/>
      <c r="AP87" s="81"/>
      <c r="AQ87" s="81"/>
      <c r="AR87" s="81"/>
      <c r="AS87" s="81"/>
      <c r="AT87" s="81"/>
    </row>
    <row r="88" spans="1:54" s="9" customFormat="1" ht="66" customHeight="1" x14ac:dyDescent="0.35">
      <c r="A88" s="1298" t="s">
        <v>1375</v>
      </c>
      <c r="B88" s="2839" t="s">
        <v>1602</v>
      </c>
      <c r="C88" s="2840"/>
      <c r="D88" s="2840"/>
      <c r="E88" s="2840"/>
      <c r="F88" s="2840"/>
      <c r="G88" s="1297">
        <f>I81</f>
        <v>0</v>
      </c>
      <c r="H88" s="665" t="s">
        <v>1378</v>
      </c>
      <c r="I88" s="1295"/>
      <c r="J88" s="1295"/>
      <c r="K88" s="1295"/>
      <c r="M88" s="975"/>
      <c r="N88" s="975"/>
      <c r="O88" s="975"/>
      <c r="P88" s="978"/>
      <c r="Q88" s="978"/>
      <c r="R88" s="978"/>
      <c r="S88" s="978"/>
      <c r="T88" s="978"/>
      <c r="U88" s="978"/>
      <c r="V88" s="979"/>
      <c r="W88" s="979"/>
      <c r="X88" s="979"/>
      <c r="Y88" s="979"/>
      <c r="Z88" s="193"/>
      <c r="AA88" s="193"/>
      <c r="AB88" s="249"/>
      <c r="AC88" s="249"/>
      <c r="AD88" s="249"/>
      <c r="AE88" s="249"/>
      <c r="AF88" s="249"/>
      <c r="AG88" s="249"/>
      <c r="AH88" s="249"/>
      <c r="AI88" s="249"/>
      <c r="AJ88" s="249"/>
      <c r="AK88" s="249"/>
      <c r="AL88" s="249"/>
      <c r="AM88" s="249"/>
      <c r="AN88" s="81"/>
      <c r="AO88" s="81"/>
      <c r="AP88" s="81"/>
      <c r="AQ88" s="81"/>
      <c r="AR88" s="81"/>
      <c r="AS88" s="81"/>
      <c r="AT88" s="81"/>
    </row>
    <row r="89" spans="1:54" s="87" customFormat="1" ht="30.6" customHeight="1" x14ac:dyDescent="0.35">
      <c r="A89" s="2848"/>
      <c r="B89" s="2848"/>
      <c r="C89" s="2848"/>
      <c r="D89" s="2848"/>
      <c r="E89" s="2848"/>
      <c r="F89" s="2848"/>
      <c r="G89" s="2848"/>
      <c r="H89" s="809"/>
      <c r="I89" s="809"/>
      <c r="J89" s="809"/>
      <c r="K89" s="809"/>
      <c r="L89" s="84"/>
      <c r="M89" s="980"/>
      <c r="N89" s="981"/>
      <c r="O89" s="980"/>
      <c r="P89" s="980"/>
      <c r="Q89" s="978"/>
      <c r="R89" s="978"/>
      <c r="S89" s="978"/>
      <c r="T89" s="978"/>
      <c r="U89" s="978"/>
      <c r="V89" s="980"/>
      <c r="W89" s="980"/>
      <c r="X89" s="980"/>
      <c r="Y89" s="980"/>
      <c r="Z89" s="89"/>
      <c r="AA89" s="89"/>
      <c r="AB89" s="249"/>
      <c r="AC89" s="250"/>
      <c r="AD89" s="250"/>
      <c r="AE89" s="250"/>
      <c r="AF89" s="250"/>
      <c r="AG89" s="249"/>
      <c r="AH89" s="249"/>
      <c r="AI89" s="249"/>
      <c r="AJ89" s="249"/>
      <c r="AK89" s="249"/>
      <c r="AL89" s="249"/>
      <c r="AM89" s="249"/>
    </row>
    <row r="90" spans="1:54" s="87" customFormat="1" ht="48" customHeight="1" thickBot="1" x14ac:dyDescent="0.35">
      <c r="A90" s="2842" t="s">
        <v>848</v>
      </c>
      <c r="B90" s="2842"/>
      <c r="C90" s="2842"/>
      <c r="D90" s="2842"/>
      <c r="E90" s="233"/>
      <c r="F90" s="235"/>
      <c r="G90" s="180"/>
      <c r="H90" s="180"/>
      <c r="I90" s="180"/>
      <c r="J90" s="180"/>
      <c r="K90" s="180"/>
      <c r="L90" s="180"/>
      <c r="M90" s="180"/>
      <c r="N90" s="180"/>
      <c r="O90" s="187"/>
      <c r="P90" s="2604" t="s">
        <v>262</v>
      </c>
      <c r="Q90" s="2604"/>
      <c r="R90" s="180"/>
      <c r="S90" s="180"/>
      <c r="T90" s="187"/>
      <c r="U90" s="187"/>
      <c r="V90" s="84"/>
      <c r="W90" s="84"/>
      <c r="X90" s="84"/>
      <c r="Y90" s="84"/>
      <c r="Z90" s="89"/>
      <c r="AA90" s="89"/>
      <c r="AB90" s="249"/>
      <c r="AC90" s="250"/>
      <c r="AD90" s="250"/>
      <c r="AE90" s="250"/>
      <c r="AF90" s="250"/>
      <c r="AG90" s="249"/>
      <c r="AH90" s="249"/>
      <c r="AI90" s="249"/>
      <c r="AJ90" s="249"/>
      <c r="AK90" s="249"/>
      <c r="AL90" s="249"/>
      <c r="AM90" s="249"/>
    </row>
    <row r="91" spans="1:54" s="87" customFormat="1" ht="31.9" customHeight="1" x14ac:dyDescent="0.3">
      <c r="A91" s="2672" t="s">
        <v>38</v>
      </c>
      <c r="B91" s="2675" t="s">
        <v>488</v>
      </c>
      <c r="C91" s="2675"/>
      <c r="D91" s="2675"/>
      <c r="E91" s="2846" t="s">
        <v>1603</v>
      </c>
      <c r="F91" s="2846" t="s">
        <v>1604</v>
      </c>
      <c r="G91" s="2591" t="s">
        <v>512</v>
      </c>
      <c r="H91" s="2591"/>
      <c r="I91" s="2591"/>
      <c r="J91" s="2591"/>
      <c r="K91" s="2591"/>
      <c r="L91" s="2591" t="s">
        <v>559</v>
      </c>
      <c r="M91" s="2591"/>
      <c r="N91" s="2846" t="s">
        <v>1605</v>
      </c>
      <c r="O91" s="1299" t="s">
        <v>513</v>
      </c>
      <c r="P91" s="1299" t="s">
        <v>560</v>
      </c>
      <c r="Q91" s="2863" t="s">
        <v>1606</v>
      </c>
      <c r="R91" s="180"/>
      <c r="S91" s="180"/>
      <c r="T91" s="180"/>
      <c r="U91" s="187"/>
      <c r="V91" s="84"/>
      <c r="W91" s="84"/>
      <c r="X91" s="84"/>
      <c r="Y91" s="84"/>
      <c r="Z91" s="89"/>
      <c r="AA91" s="89"/>
      <c r="AB91" s="249"/>
      <c r="AC91" s="250"/>
      <c r="AD91" s="250"/>
      <c r="AE91" s="250"/>
      <c r="AF91" s="250"/>
      <c r="AG91" s="249"/>
      <c r="AH91" s="249"/>
      <c r="AI91" s="249"/>
      <c r="AJ91" s="249"/>
      <c r="AK91" s="249"/>
      <c r="AL91" s="249"/>
      <c r="AM91" s="249"/>
    </row>
    <row r="92" spans="1:54" s="87" customFormat="1" ht="85.9" customHeight="1" x14ac:dyDescent="0.3">
      <c r="A92" s="2849"/>
      <c r="B92" s="2841"/>
      <c r="C92" s="2841"/>
      <c r="D92" s="2841"/>
      <c r="E92" s="2847"/>
      <c r="F92" s="2847"/>
      <c r="G92" s="2616" t="s">
        <v>1379</v>
      </c>
      <c r="H92" s="2617"/>
      <c r="I92" s="2616" t="s">
        <v>506</v>
      </c>
      <c r="J92" s="2617"/>
      <c r="K92" s="614" t="s">
        <v>507</v>
      </c>
      <c r="L92" s="1300" t="s">
        <v>509</v>
      </c>
      <c r="M92" s="1300" t="s">
        <v>508</v>
      </c>
      <c r="N92" s="2847"/>
      <c r="O92" s="614" t="s">
        <v>728</v>
      </c>
      <c r="P92" s="1300" t="s">
        <v>510</v>
      </c>
      <c r="Q92" s="2864"/>
      <c r="V92" s="190"/>
      <c r="W92" s="190"/>
      <c r="X92" s="190"/>
      <c r="Y92" s="190"/>
      <c r="Z92" s="89"/>
      <c r="AA92" s="89"/>
      <c r="AB92" s="249"/>
      <c r="AC92" s="167"/>
      <c r="AD92" s="250"/>
      <c r="AE92" s="250"/>
      <c r="AF92" s="250"/>
      <c r="AG92" s="249"/>
      <c r="AH92" s="249"/>
      <c r="AI92" s="249"/>
      <c r="AJ92" s="249"/>
      <c r="AK92" s="249"/>
      <c r="AL92" s="249"/>
      <c r="AM92" s="249"/>
    </row>
    <row r="93" spans="1:54" s="87" customFormat="1" ht="25.9" customHeight="1" x14ac:dyDescent="0.3">
      <c r="A93" s="1301">
        <v>1</v>
      </c>
      <c r="B93" s="2841">
        <v>2</v>
      </c>
      <c r="C93" s="2841"/>
      <c r="D93" s="2841"/>
      <c r="E93" s="614">
        <v>3</v>
      </c>
      <c r="F93" s="614">
        <v>4</v>
      </c>
      <c r="G93" s="2616">
        <v>5</v>
      </c>
      <c r="H93" s="2617"/>
      <c r="I93" s="2616">
        <v>6</v>
      </c>
      <c r="J93" s="2617"/>
      <c r="K93" s="614">
        <v>7</v>
      </c>
      <c r="L93" s="614">
        <v>8</v>
      </c>
      <c r="M93" s="614">
        <v>9</v>
      </c>
      <c r="N93" s="614">
        <v>10</v>
      </c>
      <c r="O93" s="614">
        <v>11</v>
      </c>
      <c r="P93" s="614">
        <v>12</v>
      </c>
      <c r="Q93" s="1302">
        <v>13</v>
      </c>
      <c r="V93" s="178"/>
      <c r="W93" s="334"/>
      <c r="X93" s="178"/>
      <c r="Y93" s="334"/>
      <c r="Z93" s="115"/>
      <c r="AA93" s="115"/>
      <c r="AB93" s="249"/>
      <c r="AC93" s="249"/>
      <c r="AD93" s="249"/>
      <c r="AE93" s="249"/>
      <c r="AF93" s="249"/>
      <c r="AG93" s="249"/>
      <c r="AH93" s="249"/>
      <c r="AI93" s="249"/>
      <c r="AJ93" s="249"/>
      <c r="AK93" s="249"/>
      <c r="AL93" s="249"/>
      <c r="AM93" s="249"/>
    </row>
    <row r="94" spans="1:54" s="84" customFormat="1" ht="33.6" customHeight="1" x14ac:dyDescent="0.3">
      <c r="A94" s="2849" t="s">
        <v>552</v>
      </c>
      <c r="B94" s="2597" t="s">
        <v>125</v>
      </c>
      <c r="C94" s="2597"/>
      <c r="D94" s="2597"/>
      <c r="E94" s="1303">
        <f>F66</f>
        <v>0</v>
      </c>
      <c r="F94" s="1303">
        <f>G66</f>
        <v>0</v>
      </c>
      <c r="G94" s="2589">
        <f>IF(K56=1,G85-G88,IF(K57=2,G87))</f>
        <v>0</v>
      </c>
      <c r="H94" s="2590"/>
      <c r="I94" s="2589">
        <f>I81</f>
        <v>0</v>
      </c>
      <c r="J94" s="2590"/>
      <c r="K94" s="1303" t="s">
        <v>296</v>
      </c>
      <c r="L94" s="1304">
        <f>F94-(G94+I94)</f>
        <v>0</v>
      </c>
      <c r="M94" s="1305" t="s">
        <v>469</v>
      </c>
      <c r="N94" s="1303">
        <f>I66</f>
        <v>0</v>
      </c>
      <c r="O94" s="1306">
        <f>IF(K56=1,M14+M23,IF(K57=2,M14+M23-G86))</f>
        <v>0</v>
      </c>
      <c r="P94" s="1304">
        <f>N94-O94</f>
        <v>0</v>
      </c>
      <c r="Q94" s="1307">
        <f>K66</f>
        <v>0</v>
      </c>
      <c r="V94" s="183"/>
      <c r="W94" s="183"/>
      <c r="X94" s="183"/>
      <c r="Y94" s="183"/>
      <c r="Z94" s="115"/>
      <c r="AA94" s="115"/>
      <c r="AB94" s="249"/>
      <c r="AC94" s="250"/>
      <c r="AD94" s="250"/>
      <c r="AE94" s="250"/>
      <c r="AF94" s="250"/>
      <c r="AG94" s="249"/>
      <c r="AH94" s="249"/>
      <c r="AI94" s="249"/>
      <c r="AJ94" s="249"/>
      <c r="AK94" s="249"/>
      <c r="AL94" s="249"/>
      <c r="AM94" s="249"/>
    </row>
    <row r="95" spans="1:54" s="84" customFormat="1" ht="84" customHeight="1" x14ac:dyDescent="0.3">
      <c r="A95" s="2849"/>
      <c r="B95" s="2597"/>
      <c r="C95" s="2597"/>
      <c r="D95" s="2597"/>
      <c r="E95" s="1308"/>
      <c r="F95" s="1308"/>
      <c r="G95" s="2595" t="s">
        <v>1380</v>
      </c>
      <c r="H95" s="2596"/>
      <c r="I95" s="2595" t="s">
        <v>500</v>
      </c>
      <c r="J95" s="2596"/>
      <c r="K95" s="1309"/>
      <c r="L95" s="1309"/>
      <c r="M95" s="1309"/>
      <c r="N95" s="1309"/>
      <c r="O95" s="1201" t="s">
        <v>1607</v>
      </c>
      <c r="P95" s="1309"/>
      <c r="Q95" s="1310"/>
      <c r="V95" s="183"/>
      <c r="W95" s="183"/>
      <c r="X95" s="183"/>
      <c r="Y95" s="183"/>
      <c r="Z95" s="115"/>
      <c r="AA95" s="115"/>
      <c r="AB95" s="249"/>
      <c r="AC95" s="250"/>
      <c r="AD95" s="250"/>
      <c r="AE95" s="250"/>
      <c r="AF95" s="250"/>
      <c r="AG95" s="249"/>
      <c r="AH95" s="249"/>
      <c r="AI95" s="249"/>
      <c r="AJ95" s="249"/>
      <c r="AK95" s="249"/>
      <c r="AL95" s="249"/>
      <c r="AM95" s="249"/>
    </row>
    <row r="96" spans="1:54" s="84" customFormat="1" ht="69" customHeight="1" x14ac:dyDescent="0.3">
      <c r="A96" s="2849" t="s">
        <v>553</v>
      </c>
      <c r="B96" s="2597" t="s">
        <v>126</v>
      </c>
      <c r="C96" s="2597"/>
      <c r="D96" s="2597"/>
      <c r="E96" s="1303">
        <f>F68</f>
        <v>23681096</v>
      </c>
      <c r="F96" s="1303">
        <f>G68+F53</f>
        <v>21500</v>
      </c>
      <c r="G96" s="2589">
        <f>'Звіт   4,5,6'!H24</f>
        <v>21500</v>
      </c>
      <c r="H96" s="2590"/>
      <c r="I96" s="2589">
        <f>I80</f>
        <v>0</v>
      </c>
      <c r="J96" s="2590"/>
      <c r="K96" s="1303">
        <f>T12+T21+F53</f>
        <v>21500</v>
      </c>
      <c r="L96" s="1304">
        <f>F96-(G96+I96)</f>
        <v>0</v>
      </c>
      <c r="M96" s="1304">
        <f>G96-K96</f>
        <v>0</v>
      </c>
      <c r="N96" s="1303">
        <f>I68</f>
        <v>0</v>
      </c>
      <c r="O96" s="1303">
        <f>N11+N20</f>
        <v>0</v>
      </c>
      <c r="P96" s="1304">
        <f>N96-O96</f>
        <v>0</v>
      </c>
      <c r="Q96" s="1307">
        <f>K68</f>
        <v>23659596</v>
      </c>
      <c r="V96" s="191"/>
      <c r="W96" s="191"/>
      <c r="X96" s="191"/>
      <c r="Y96" s="191"/>
      <c r="Z96" s="115"/>
      <c r="AA96" s="115"/>
      <c r="AB96" s="249"/>
      <c r="AC96" s="250"/>
      <c r="AD96" s="250"/>
      <c r="AE96" s="250"/>
      <c r="AF96" s="250"/>
      <c r="AG96" s="249"/>
      <c r="AH96" s="249"/>
      <c r="AI96" s="249"/>
      <c r="AJ96" s="249"/>
      <c r="AK96" s="249"/>
      <c r="AL96" s="249"/>
      <c r="AM96" s="249"/>
    </row>
    <row r="97" spans="1:39" s="84" customFormat="1" ht="135.75" customHeight="1" x14ac:dyDescent="0.3">
      <c r="A97" s="2849"/>
      <c r="B97" s="2597"/>
      <c r="C97" s="2597"/>
      <c r="D97" s="2597"/>
      <c r="E97" s="1308"/>
      <c r="F97" s="1201" t="s">
        <v>1594</v>
      </c>
      <c r="G97" s="2595" t="s">
        <v>845</v>
      </c>
      <c r="H97" s="2596"/>
      <c r="I97" s="2595" t="s">
        <v>737</v>
      </c>
      <c r="J97" s="2596"/>
      <c r="K97" s="1201" t="s">
        <v>1595</v>
      </c>
      <c r="L97" s="1308"/>
      <c r="M97" s="1308"/>
      <c r="N97" s="1201" t="s">
        <v>505</v>
      </c>
      <c r="O97" s="1201" t="s">
        <v>806</v>
      </c>
      <c r="P97" s="1308"/>
      <c r="Q97" s="1311"/>
      <c r="V97" s="191"/>
      <c r="W97" s="191"/>
      <c r="X97" s="191"/>
      <c r="Y97" s="191"/>
      <c r="Z97" s="115"/>
      <c r="AA97" s="115"/>
      <c r="AB97" s="249"/>
      <c r="AC97" s="167"/>
      <c r="AD97" s="250"/>
      <c r="AE97" s="250"/>
      <c r="AF97" s="250"/>
      <c r="AG97" s="249"/>
      <c r="AH97" s="249"/>
      <c r="AI97" s="249"/>
      <c r="AJ97" s="249"/>
      <c r="AK97" s="249"/>
      <c r="AL97" s="249"/>
      <c r="AM97" s="249"/>
    </row>
    <row r="98" spans="1:39" s="84" customFormat="1" ht="33.6" customHeight="1" x14ac:dyDescent="0.25">
      <c r="A98" s="1312" t="s">
        <v>554</v>
      </c>
      <c r="B98" s="2853" t="s">
        <v>53</v>
      </c>
      <c r="C98" s="2853"/>
      <c r="D98" s="2853"/>
      <c r="E98" s="1303">
        <f>F70</f>
        <v>244911</v>
      </c>
      <c r="F98" s="1303">
        <f>G70</f>
        <v>95796</v>
      </c>
      <c r="G98" s="2589" t="s">
        <v>469</v>
      </c>
      <c r="H98" s="2590"/>
      <c r="I98" s="2589" t="s">
        <v>469</v>
      </c>
      <c r="J98" s="2590"/>
      <c r="K98" s="1305" t="s">
        <v>469</v>
      </c>
      <c r="L98" s="1305" t="s">
        <v>469</v>
      </c>
      <c r="M98" s="1305" t="s">
        <v>469</v>
      </c>
      <c r="N98" s="1303">
        <f>I70</f>
        <v>45734</v>
      </c>
      <c r="O98" s="1305" t="s">
        <v>469</v>
      </c>
      <c r="P98" s="1305" t="s">
        <v>469</v>
      </c>
      <c r="Q98" s="1307">
        <f>K70</f>
        <v>194849</v>
      </c>
      <c r="V98" s="183"/>
      <c r="W98" s="183"/>
      <c r="X98" s="183"/>
      <c r="Y98" s="183"/>
      <c r="Z98" s="115"/>
      <c r="AA98" s="115"/>
      <c r="AB98" s="115"/>
      <c r="AC98" s="89"/>
      <c r="AD98" s="89"/>
      <c r="AE98" s="89"/>
      <c r="AF98" s="89"/>
      <c r="AG98" s="89"/>
      <c r="AH98" s="89"/>
      <c r="AI98" s="89"/>
      <c r="AJ98" s="89"/>
      <c r="AK98" s="89"/>
      <c r="AL98" s="89"/>
      <c r="AM98" s="89"/>
    </row>
    <row r="99" spans="1:39" s="84" customFormat="1" ht="38.65" customHeight="1" x14ac:dyDescent="0.25">
      <c r="A99" s="2849" t="s">
        <v>556</v>
      </c>
      <c r="B99" s="2851" t="str">
        <f>B71</f>
        <v>у тому числі  НА, ОЗ, що  придбані за кошти цільового фінансування</v>
      </c>
      <c r="C99" s="2851"/>
      <c r="D99" s="2851"/>
      <c r="E99" s="1303">
        <f>F71</f>
        <v>244911</v>
      </c>
      <c r="F99" s="1303">
        <f>G71</f>
        <v>95796</v>
      </c>
      <c r="G99" s="2589">
        <f>'Звіт   4,5,6'!H23</f>
        <v>95796</v>
      </c>
      <c r="H99" s="2590"/>
      <c r="I99" s="2589">
        <f>I79</f>
        <v>0</v>
      </c>
      <c r="J99" s="2590"/>
      <c r="K99" s="1303">
        <f>V12+V21</f>
        <v>95796</v>
      </c>
      <c r="L99" s="1304">
        <f>F99-(G99+I99)</f>
        <v>0</v>
      </c>
      <c r="M99" s="1304">
        <f>G99-K99</f>
        <v>0</v>
      </c>
      <c r="N99" s="1303">
        <f>I71</f>
        <v>45734</v>
      </c>
      <c r="O99" s="1303">
        <f>O11+O20</f>
        <v>45734</v>
      </c>
      <c r="P99" s="1304">
        <f>N99-O99</f>
        <v>0</v>
      </c>
      <c r="Q99" s="1307">
        <f>K71</f>
        <v>194849</v>
      </c>
      <c r="V99" s="183"/>
      <c r="W99" s="183"/>
      <c r="X99" s="183"/>
      <c r="Y99" s="183"/>
      <c r="Z99" s="115"/>
      <c r="AA99" s="115"/>
      <c r="AB99" s="89"/>
      <c r="AC99" s="89"/>
      <c r="AD99" s="89"/>
      <c r="AE99" s="89"/>
      <c r="AF99" s="89"/>
      <c r="AG99" s="89"/>
      <c r="AH99" s="89"/>
      <c r="AI99" s="89"/>
      <c r="AJ99" s="89"/>
      <c r="AK99" s="89"/>
      <c r="AL99" s="89"/>
      <c r="AM99" s="89"/>
    </row>
    <row r="100" spans="1:39" s="84" customFormat="1" ht="111.75" customHeight="1" thickBot="1" x14ac:dyDescent="0.3">
      <c r="A100" s="2850"/>
      <c r="B100" s="2852"/>
      <c r="C100" s="2852"/>
      <c r="D100" s="2852"/>
      <c r="E100" s="1313"/>
      <c r="F100" s="1314"/>
      <c r="G100" s="2602" t="s">
        <v>805</v>
      </c>
      <c r="H100" s="2603"/>
      <c r="I100" s="2602" t="s">
        <v>501</v>
      </c>
      <c r="J100" s="2603"/>
      <c r="K100" s="1315" t="s">
        <v>528</v>
      </c>
      <c r="L100" s="1316"/>
      <c r="M100" s="1316"/>
      <c r="N100" s="1315" t="s">
        <v>522</v>
      </c>
      <c r="O100" s="1315" t="s">
        <v>527</v>
      </c>
      <c r="P100" s="1316"/>
      <c r="Q100" s="1317"/>
      <c r="R100" s="85"/>
      <c r="S100" s="85"/>
      <c r="T100" s="85" t="s">
        <v>470</v>
      </c>
      <c r="U100" s="85"/>
      <c r="V100" s="85"/>
      <c r="W100" s="85"/>
      <c r="X100" s="85"/>
      <c r="Y100" s="85"/>
      <c r="Z100" s="85"/>
      <c r="AA100" s="85"/>
    </row>
    <row r="101" spans="1:39" s="84" customFormat="1" ht="33.75" customHeight="1" x14ac:dyDescent="0.25">
      <c r="A101" s="144" t="s">
        <v>504</v>
      </c>
      <c r="C101" s="88"/>
      <c r="D101" s="88"/>
      <c r="E101" s="88"/>
      <c r="F101" s="89"/>
      <c r="G101" s="89"/>
      <c r="H101" s="89"/>
      <c r="I101" s="243"/>
      <c r="J101" s="243"/>
      <c r="K101" s="243"/>
      <c r="L101" s="89"/>
      <c r="M101" s="89"/>
      <c r="N101" s="145"/>
      <c r="O101" s="89"/>
      <c r="P101" s="89"/>
      <c r="Q101" s="89"/>
      <c r="R101" s="85"/>
      <c r="S101" s="85"/>
      <c r="T101" s="85"/>
      <c r="U101" s="85"/>
      <c r="V101" s="85"/>
      <c r="W101" s="85"/>
      <c r="X101" s="85"/>
      <c r="Y101" s="85"/>
      <c r="Z101" s="85"/>
      <c r="AA101" s="85"/>
    </row>
    <row r="102" spans="1:39" s="84" customFormat="1" hidden="1" x14ac:dyDescent="0.25">
      <c r="C102" s="88"/>
      <c r="D102" s="88"/>
      <c r="E102" s="88"/>
      <c r="F102" s="89"/>
      <c r="G102" s="89"/>
      <c r="H102" s="89"/>
      <c r="I102" s="89"/>
      <c r="J102" s="89"/>
      <c r="K102" s="89"/>
      <c r="L102" s="89"/>
      <c r="M102" s="89"/>
      <c r="N102" s="145"/>
      <c r="O102" s="89"/>
      <c r="P102" s="89"/>
      <c r="Q102" s="89"/>
      <c r="R102" s="85"/>
      <c r="S102" s="85"/>
      <c r="T102" s="85"/>
      <c r="U102" s="85"/>
      <c r="V102" s="85"/>
      <c r="W102" s="85"/>
      <c r="X102" s="85"/>
      <c r="Y102" s="85"/>
      <c r="Z102" s="85"/>
      <c r="AA102" s="85"/>
    </row>
    <row r="103" spans="1:39" s="84" customFormat="1" hidden="1" x14ac:dyDescent="0.25">
      <c r="C103" s="88"/>
      <c r="D103" s="88"/>
      <c r="E103" s="88"/>
      <c r="F103" s="89"/>
      <c r="G103" s="89"/>
      <c r="H103" s="89"/>
      <c r="I103" s="89"/>
      <c r="J103" s="89"/>
      <c r="K103" s="89"/>
      <c r="L103" s="89"/>
      <c r="M103" s="89"/>
      <c r="N103" s="145"/>
      <c r="O103" s="89"/>
      <c r="P103" s="89"/>
      <c r="Q103" s="89"/>
      <c r="R103" s="85"/>
      <c r="S103" s="85"/>
      <c r="T103" s="85"/>
      <c r="U103" s="85"/>
      <c r="V103" s="85"/>
      <c r="W103" s="85"/>
      <c r="X103" s="85"/>
      <c r="Y103" s="85"/>
      <c r="Z103" s="85"/>
      <c r="AA103" s="85"/>
    </row>
    <row r="104" spans="1:39" s="84" customFormat="1" hidden="1" x14ac:dyDescent="0.25">
      <c r="C104" s="88"/>
      <c r="D104" s="88"/>
      <c r="E104" s="88"/>
      <c r="F104" s="89"/>
      <c r="G104" s="89"/>
      <c r="H104" s="89"/>
      <c r="I104" s="89"/>
      <c r="J104" s="89"/>
      <c r="K104" s="89"/>
      <c r="L104" s="89"/>
      <c r="M104" s="89"/>
      <c r="N104" s="145"/>
      <c r="O104" s="89"/>
      <c r="P104" s="89"/>
      <c r="Q104" s="89"/>
      <c r="R104" s="85"/>
      <c r="S104" s="85"/>
      <c r="T104" s="85"/>
      <c r="U104" s="85"/>
      <c r="V104" s="85"/>
      <c r="W104" s="85"/>
      <c r="X104" s="85"/>
      <c r="Y104" s="85"/>
      <c r="Z104" s="85"/>
      <c r="AA104" s="85"/>
    </row>
    <row r="105" spans="1:39" s="84" customFormat="1" hidden="1" x14ac:dyDescent="0.25">
      <c r="C105" s="88"/>
      <c r="D105" s="88"/>
      <c r="E105" s="88"/>
      <c r="F105" s="89"/>
      <c r="G105" s="89"/>
      <c r="H105" s="89"/>
      <c r="I105" s="89"/>
      <c r="J105" s="89"/>
      <c r="K105" s="89"/>
      <c r="L105" s="89"/>
      <c r="M105" s="89"/>
      <c r="N105" s="145"/>
      <c r="O105" s="89"/>
      <c r="P105" s="89"/>
      <c r="Q105" s="89"/>
      <c r="R105" s="85"/>
      <c r="S105" s="85"/>
      <c r="T105" s="85"/>
      <c r="U105" s="85"/>
      <c r="V105" s="85"/>
      <c r="W105" s="85"/>
      <c r="X105" s="85"/>
      <c r="Y105" s="85"/>
      <c r="Z105" s="85"/>
      <c r="AA105" s="85"/>
    </row>
    <row r="106" spans="1:39" s="84" customFormat="1" hidden="1" x14ac:dyDescent="0.25">
      <c r="C106" s="88"/>
      <c r="D106" s="88"/>
      <c r="E106" s="88"/>
      <c r="F106" s="89"/>
      <c r="G106" s="89"/>
      <c r="H106" s="89"/>
      <c r="I106" s="89"/>
      <c r="J106" s="89"/>
      <c r="K106" s="89"/>
      <c r="L106" s="89"/>
      <c r="M106" s="89"/>
      <c r="N106" s="145"/>
      <c r="O106" s="89"/>
      <c r="P106" s="89"/>
      <c r="Q106" s="89"/>
      <c r="R106" s="85"/>
      <c r="S106" s="85"/>
      <c r="T106" s="85"/>
      <c r="U106" s="85"/>
      <c r="V106" s="85"/>
      <c r="W106" s="85"/>
      <c r="X106" s="85"/>
      <c r="Y106" s="85"/>
      <c r="Z106" s="85"/>
      <c r="AA106" s="85"/>
    </row>
    <row r="107" spans="1:39" s="84" customFormat="1" x14ac:dyDescent="0.25">
      <c r="C107" s="88"/>
      <c r="D107" s="88"/>
      <c r="E107" s="88"/>
      <c r="F107" s="89"/>
      <c r="G107" s="89"/>
      <c r="H107" s="89"/>
      <c r="I107" s="89"/>
      <c r="J107" s="89"/>
      <c r="K107" s="89"/>
      <c r="L107" s="89"/>
      <c r="M107" s="89"/>
      <c r="N107" s="145"/>
      <c r="O107" s="89"/>
      <c r="P107" s="89"/>
      <c r="Q107" s="89"/>
      <c r="R107" s="85"/>
      <c r="S107" s="85"/>
      <c r="T107" s="85"/>
      <c r="U107" s="85"/>
      <c r="V107" s="85"/>
      <c r="W107" s="85"/>
      <c r="X107" s="85"/>
      <c r="Y107" s="85"/>
      <c r="Z107" s="85"/>
      <c r="AA107" s="85"/>
    </row>
    <row r="108" spans="1:39" s="84" customFormat="1" x14ac:dyDescent="0.25">
      <c r="C108" s="88"/>
      <c r="D108" s="88"/>
      <c r="E108" s="88"/>
      <c r="F108" s="89"/>
      <c r="G108" s="89"/>
      <c r="H108" s="89"/>
      <c r="I108" s="89"/>
      <c r="J108" s="89"/>
      <c r="K108" s="89"/>
      <c r="L108" s="89"/>
      <c r="M108" s="89"/>
      <c r="N108" s="145"/>
      <c r="O108" s="89"/>
      <c r="P108" s="89"/>
      <c r="Q108" s="89"/>
      <c r="R108" s="85"/>
      <c r="S108" s="85"/>
      <c r="T108" s="85"/>
      <c r="U108" s="85"/>
      <c r="V108" s="85"/>
      <c r="W108" s="85"/>
      <c r="X108" s="85"/>
      <c r="Y108" s="85"/>
      <c r="Z108" s="85"/>
      <c r="AA108" s="85"/>
    </row>
    <row r="109" spans="1:39" s="84" customFormat="1" x14ac:dyDescent="0.25">
      <c r="C109" s="88"/>
      <c r="D109" s="88"/>
      <c r="E109" s="88"/>
      <c r="F109" s="89"/>
      <c r="G109" s="89"/>
      <c r="H109" s="89"/>
      <c r="I109" s="89"/>
      <c r="J109" s="89"/>
      <c r="K109" s="89"/>
      <c r="L109" s="89"/>
      <c r="M109" s="89"/>
      <c r="N109" s="145"/>
      <c r="O109" s="89"/>
      <c r="P109" s="89"/>
      <c r="Q109" s="89"/>
      <c r="R109" s="85"/>
      <c r="S109" s="85"/>
      <c r="T109" s="85"/>
      <c r="U109" s="85"/>
      <c r="V109" s="85"/>
      <c r="W109" s="85"/>
      <c r="X109" s="85"/>
      <c r="Y109" s="85"/>
      <c r="Z109" s="85"/>
      <c r="AA109" s="85"/>
    </row>
    <row r="110" spans="1:39" s="84" customFormat="1" x14ac:dyDescent="0.25">
      <c r="C110" s="88"/>
      <c r="D110" s="88"/>
      <c r="E110" s="88"/>
      <c r="F110" s="89"/>
      <c r="G110" s="89"/>
      <c r="H110" s="89"/>
      <c r="I110" s="89"/>
      <c r="J110" s="89"/>
      <c r="K110" s="89"/>
      <c r="L110" s="89"/>
      <c r="M110" s="89"/>
      <c r="N110" s="145"/>
      <c r="O110" s="89"/>
      <c r="P110" s="89"/>
      <c r="Q110" s="89"/>
      <c r="R110" s="85"/>
      <c r="S110" s="85"/>
      <c r="T110" s="85"/>
      <c r="U110" s="85"/>
      <c r="V110" s="85"/>
      <c r="W110" s="85"/>
      <c r="X110" s="85"/>
      <c r="Y110" s="85"/>
      <c r="Z110" s="85"/>
      <c r="AA110" s="85"/>
    </row>
    <row r="111" spans="1:39" s="84" customFormat="1" x14ac:dyDescent="0.25">
      <c r="C111" s="88"/>
      <c r="D111" s="88"/>
      <c r="E111" s="88"/>
      <c r="F111" s="89"/>
      <c r="G111" s="89"/>
      <c r="H111" s="89"/>
      <c r="I111" s="89"/>
      <c r="J111" s="89"/>
      <c r="K111" s="89"/>
      <c r="L111" s="89"/>
      <c r="M111" s="89"/>
      <c r="N111" s="145"/>
      <c r="O111" s="89"/>
      <c r="P111" s="89"/>
      <c r="Q111" s="89"/>
      <c r="R111" s="85"/>
      <c r="S111" s="85"/>
      <c r="T111" s="85"/>
      <c r="U111" s="85"/>
      <c r="V111" s="85"/>
      <c r="W111" s="85"/>
      <c r="X111" s="85"/>
      <c r="Y111" s="85"/>
      <c r="Z111" s="85"/>
      <c r="AA111" s="85"/>
    </row>
    <row r="112" spans="1:39" s="84" customFormat="1" x14ac:dyDescent="0.25">
      <c r="C112" s="88"/>
      <c r="D112" s="88"/>
      <c r="E112" s="88"/>
      <c r="F112" s="89"/>
      <c r="G112" s="89"/>
      <c r="H112" s="89"/>
      <c r="I112" s="89"/>
      <c r="J112" s="89"/>
      <c r="K112" s="89"/>
      <c r="L112" s="89"/>
      <c r="M112" s="89"/>
      <c r="N112" s="145"/>
      <c r="O112" s="89"/>
      <c r="P112" s="89"/>
      <c r="Q112" s="89"/>
      <c r="R112" s="85"/>
      <c r="S112" s="85"/>
      <c r="T112" s="85"/>
      <c r="U112" s="85"/>
      <c r="V112" s="85"/>
      <c r="W112" s="85"/>
      <c r="X112" s="85"/>
      <c r="Y112" s="85"/>
      <c r="Z112" s="85"/>
      <c r="AA112" s="85"/>
    </row>
    <row r="113" spans="3:61" s="84" customFormat="1" x14ac:dyDescent="0.25">
      <c r="C113" s="88"/>
      <c r="D113" s="88"/>
      <c r="E113" s="88"/>
      <c r="F113" s="89"/>
      <c r="G113" s="89"/>
      <c r="H113" s="89"/>
      <c r="I113" s="89"/>
      <c r="J113" s="89"/>
      <c r="K113" s="89"/>
      <c r="L113" s="89"/>
      <c r="M113" s="89"/>
      <c r="N113" s="145"/>
      <c r="O113" s="89"/>
      <c r="P113" s="89"/>
      <c r="Q113" s="89"/>
      <c r="R113" s="85"/>
      <c r="S113" s="85"/>
      <c r="T113" s="85"/>
      <c r="U113" s="85"/>
      <c r="V113" s="85"/>
      <c r="W113" s="85"/>
      <c r="X113" s="85"/>
      <c r="Y113" s="85"/>
      <c r="Z113" s="85"/>
      <c r="AA113" s="85"/>
    </row>
    <row r="114" spans="3:61" s="84" customFormat="1" x14ac:dyDescent="0.25">
      <c r="C114" s="88"/>
      <c r="D114" s="88"/>
      <c r="E114" s="88"/>
      <c r="F114" s="89"/>
      <c r="G114" s="89"/>
      <c r="H114" s="89"/>
      <c r="I114" s="89"/>
      <c r="J114" s="89"/>
      <c r="K114" s="89"/>
      <c r="L114" s="89"/>
      <c r="M114" s="89"/>
      <c r="N114" s="145"/>
      <c r="O114" s="89"/>
      <c r="P114" s="89"/>
      <c r="Q114" s="89"/>
      <c r="R114" s="85"/>
      <c r="S114" s="85"/>
      <c r="T114" s="85"/>
      <c r="U114" s="85"/>
      <c r="V114" s="85"/>
      <c r="W114" s="85"/>
      <c r="X114" s="85"/>
      <c r="Y114" s="85"/>
      <c r="Z114" s="85"/>
      <c r="AA114" s="85"/>
    </row>
    <row r="115" spans="3:61" s="84" customFormat="1" x14ac:dyDescent="0.25">
      <c r="C115" s="88"/>
      <c r="D115" s="88"/>
      <c r="E115" s="88"/>
      <c r="F115" s="89"/>
      <c r="G115" s="89"/>
      <c r="H115" s="89"/>
      <c r="I115" s="89"/>
      <c r="J115" s="89"/>
      <c r="K115" s="89"/>
      <c r="L115" s="89"/>
      <c r="M115" s="89"/>
      <c r="N115" s="145"/>
      <c r="O115" s="89"/>
      <c r="P115" s="89"/>
      <c r="Q115" s="89"/>
      <c r="R115" s="85"/>
      <c r="S115" s="85"/>
      <c r="T115" s="85"/>
      <c r="U115" s="85"/>
      <c r="V115" s="85"/>
      <c r="W115" s="85"/>
      <c r="X115" s="85"/>
      <c r="Y115" s="85"/>
      <c r="Z115" s="85"/>
      <c r="AA115" s="85"/>
    </row>
    <row r="116" spans="3:61" s="84" customFormat="1" x14ac:dyDescent="0.25">
      <c r="C116" s="88"/>
      <c r="D116" s="88"/>
      <c r="E116" s="88"/>
      <c r="F116" s="89"/>
      <c r="G116" s="89"/>
      <c r="H116" s="89"/>
      <c r="I116" s="89"/>
      <c r="J116" s="89"/>
      <c r="K116" s="89"/>
      <c r="L116" s="89"/>
      <c r="M116" s="89"/>
      <c r="N116" s="145"/>
      <c r="O116" s="89"/>
      <c r="P116" s="89"/>
      <c r="Q116" s="89"/>
      <c r="R116" s="85"/>
      <c r="S116" s="85"/>
      <c r="T116" s="85"/>
      <c r="U116" s="85"/>
      <c r="V116" s="85"/>
      <c r="W116" s="85"/>
      <c r="X116" s="85"/>
      <c r="Y116" s="85"/>
      <c r="Z116" s="85"/>
      <c r="AA116" s="85"/>
    </row>
    <row r="117" spans="3:61" s="84" customFormat="1" x14ac:dyDescent="0.25">
      <c r="C117" s="88"/>
      <c r="D117" s="88"/>
      <c r="E117" s="88"/>
      <c r="F117" s="89"/>
      <c r="G117" s="89"/>
      <c r="H117" s="89"/>
      <c r="I117" s="89"/>
      <c r="J117" s="89"/>
      <c r="K117" s="89"/>
      <c r="L117" s="89"/>
      <c r="M117" s="89"/>
      <c r="N117" s="145"/>
      <c r="O117" s="89"/>
      <c r="P117" s="89"/>
      <c r="Q117" s="89"/>
      <c r="R117" s="85"/>
      <c r="S117" s="85"/>
      <c r="T117" s="85"/>
      <c r="U117" s="85"/>
      <c r="V117" s="85"/>
      <c r="W117" s="85"/>
      <c r="X117" s="85"/>
      <c r="Y117" s="85"/>
      <c r="Z117" s="85"/>
      <c r="AA117" s="85"/>
    </row>
    <row r="118" spans="3:61" s="84" customFormat="1" x14ac:dyDescent="0.25">
      <c r="C118" s="88"/>
      <c r="D118" s="88"/>
      <c r="E118" s="88"/>
      <c r="F118" s="89"/>
      <c r="G118" s="89"/>
      <c r="H118" s="89"/>
      <c r="I118" s="89"/>
      <c r="J118" s="89"/>
      <c r="K118" s="89"/>
      <c r="L118" s="89"/>
      <c r="M118" s="89"/>
      <c r="N118" s="145"/>
      <c r="O118" s="89"/>
      <c r="P118" s="89"/>
      <c r="Q118" s="89"/>
      <c r="R118" s="85"/>
      <c r="S118" s="85"/>
      <c r="T118" s="85"/>
      <c r="U118" s="85"/>
      <c r="V118" s="85"/>
      <c r="W118" s="85"/>
      <c r="X118" s="85"/>
      <c r="Y118" s="85"/>
      <c r="Z118" s="85"/>
      <c r="AA118" s="85"/>
    </row>
    <row r="119" spans="3:61" s="84" customFormat="1" x14ac:dyDescent="0.25">
      <c r="C119" s="88"/>
      <c r="D119" s="88"/>
      <c r="E119" s="88"/>
      <c r="F119" s="89"/>
      <c r="G119" s="89"/>
      <c r="H119" s="89"/>
      <c r="I119" s="89"/>
      <c r="J119" s="89"/>
      <c r="K119" s="89"/>
      <c r="L119" s="89"/>
      <c r="M119" s="89"/>
      <c r="N119" s="145"/>
      <c r="O119" s="89"/>
      <c r="P119" s="89"/>
      <c r="Q119" s="89"/>
      <c r="R119" s="85"/>
      <c r="S119" s="85"/>
      <c r="T119" s="85"/>
      <c r="U119" s="85"/>
      <c r="V119" s="85"/>
      <c r="W119" s="85"/>
      <c r="X119" s="85"/>
      <c r="Y119" s="85"/>
      <c r="Z119" s="85"/>
      <c r="AA119" s="85"/>
    </row>
    <row r="120" spans="3:61" s="84" customFormat="1" x14ac:dyDescent="0.25">
      <c r="C120" s="88"/>
      <c r="D120" s="88"/>
      <c r="E120" s="88"/>
      <c r="F120" s="89"/>
      <c r="G120" s="89"/>
      <c r="H120" s="89"/>
      <c r="I120" s="89"/>
      <c r="J120" s="89"/>
      <c r="K120" s="89"/>
      <c r="L120" s="89"/>
      <c r="M120" s="89"/>
      <c r="N120" s="145"/>
      <c r="O120" s="89"/>
      <c r="P120" s="89"/>
      <c r="Q120" s="89"/>
      <c r="R120" s="85"/>
      <c r="S120" s="85"/>
      <c r="T120" s="85"/>
      <c r="U120" s="85"/>
      <c r="V120" s="85"/>
      <c r="W120" s="85"/>
      <c r="X120" s="85"/>
      <c r="Y120" s="85"/>
      <c r="Z120" s="85"/>
      <c r="AA120" s="85"/>
    </row>
    <row r="121" spans="3:61" s="84" customFormat="1" x14ac:dyDescent="0.25">
      <c r="C121" s="88"/>
      <c r="D121" s="88"/>
      <c r="E121" s="88"/>
      <c r="F121" s="89"/>
      <c r="G121" s="89"/>
      <c r="H121" s="89"/>
      <c r="I121" s="89"/>
      <c r="J121" s="89"/>
      <c r="K121" s="89"/>
      <c r="L121" s="89"/>
      <c r="M121" s="89"/>
      <c r="N121" s="145"/>
      <c r="O121" s="89"/>
      <c r="P121" s="89"/>
      <c r="Q121" s="89"/>
      <c r="R121" s="85"/>
      <c r="S121" s="85"/>
      <c r="T121" s="85"/>
      <c r="U121" s="85"/>
      <c r="V121" s="85"/>
      <c r="W121" s="85"/>
      <c r="X121" s="85"/>
      <c r="Y121" s="85"/>
      <c r="Z121" s="85"/>
      <c r="AA121" s="85"/>
    </row>
    <row r="122" spans="3:61" s="84" customFormat="1" x14ac:dyDescent="0.25">
      <c r="C122" s="88"/>
      <c r="D122" s="88"/>
      <c r="E122" s="88"/>
      <c r="F122" s="89"/>
      <c r="G122" s="89"/>
      <c r="H122" s="89"/>
      <c r="I122" s="89"/>
      <c r="J122" s="89"/>
      <c r="K122" s="89"/>
      <c r="L122" s="89"/>
      <c r="M122" s="89"/>
      <c r="N122" s="145"/>
      <c r="O122" s="89"/>
      <c r="P122" s="89"/>
      <c r="Q122" s="89"/>
      <c r="R122" s="85"/>
      <c r="S122" s="85"/>
      <c r="T122" s="85"/>
      <c r="U122" s="85"/>
      <c r="V122" s="85"/>
      <c r="W122" s="85"/>
      <c r="X122" s="85"/>
      <c r="Y122" s="85"/>
      <c r="Z122" s="85"/>
      <c r="AA122" s="85"/>
    </row>
    <row r="123" spans="3:61" s="84" customFormat="1" x14ac:dyDescent="0.25">
      <c r="C123" s="88"/>
      <c r="D123" s="88"/>
      <c r="E123" s="88"/>
      <c r="F123" s="89"/>
      <c r="G123" s="89"/>
      <c r="H123" s="89"/>
      <c r="I123" s="89"/>
      <c r="J123" s="89"/>
      <c r="K123" s="89"/>
      <c r="L123" s="89"/>
      <c r="M123" s="89"/>
      <c r="N123" s="145"/>
      <c r="O123" s="89"/>
      <c r="P123" s="89"/>
      <c r="Q123" s="89"/>
      <c r="R123" s="85"/>
      <c r="S123" s="85"/>
      <c r="T123" s="85"/>
      <c r="U123" s="85"/>
      <c r="V123" s="85"/>
      <c r="W123" s="85"/>
      <c r="X123" s="85"/>
      <c r="Y123" s="85"/>
      <c r="Z123" s="52"/>
      <c r="AA123" s="52"/>
      <c r="BF123" s="2"/>
      <c r="BG123" s="2"/>
      <c r="BH123" s="2"/>
      <c r="BI123" s="2"/>
    </row>
  </sheetData>
  <sheetProtection password="FB6B" sheet="1" formatCells="0" formatColumns="0" formatRows="0"/>
  <mergeCells count="330">
    <mergeCell ref="K74:L75"/>
    <mergeCell ref="N91:N92"/>
    <mergeCell ref="AJ10:AJ16"/>
    <mergeCell ref="AE29:AF31"/>
    <mergeCell ref="T11:U11"/>
    <mergeCell ref="M29:Q29"/>
    <mergeCell ref="Q91:Q92"/>
    <mergeCell ref="R21:S21"/>
    <mergeCell ref="R23:S23"/>
    <mergeCell ref="R30:S30"/>
    <mergeCell ref="A99:A100"/>
    <mergeCell ref="B99:D100"/>
    <mergeCell ref="A94:A95"/>
    <mergeCell ref="A96:A97"/>
    <mergeCell ref="A91:A92"/>
    <mergeCell ref="G92:H92"/>
    <mergeCell ref="B93:D93"/>
    <mergeCell ref="F91:F92"/>
    <mergeCell ref="B98:D98"/>
    <mergeCell ref="G95:H95"/>
    <mergeCell ref="B87:F87"/>
    <mergeCell ref="L91:M91"/>
    <mergeCell ref="G71:H71"/>
    <mergeCell ref="I71:J71"/>
    <mergeCell ref="B21:D21"/>
    <mergeCell ref="B17:D17"/>
    <mergeCell ref="E91:E92"/>
    <mergeCell ref="B85:F85"/>
    <mergeCell ref="A89:G89"/>
    <mergeCell ref="I92:J92"/>
    <mergeCell ref="B86:F86"/>
    <mergeCell ref="B88:F88"/>
    <mergeCell ref="B91:D92"/>
    <mergeCell ref="A90:D90"/>
    <mergeCell ref="G11:H11"/>
    <mergeCell ref="B1:D1"/>
    <mergeCell ref="B13:D13"/>
    <mergeCell ref="B9:D9"/>
    <mergeCell ref="B14:D14"/>
    <mergeCell ref="B24:D24"/>
    <mergeCell ref="B19:D19"/>
    <mergeCell ref="B20:D20"/>
    <mergeCell ref="B12:D12"/>
    <mergeCell ref="B22:D22"/>
    <mergeCell ref="T8:U8"/>
    <mergeCell ref="R7:AA7"/>
    <mergeCell ref="I12:J12"/>
    <mergeCell ref="B11:D11"/>
    <mergeCell ref="V8:W8"/>
    <mergeCell ref="V9:W9"/>
    <mergeCell ref="R1:T1"/>
    <mergeCell ref="R2:T2"/>
    <mergeCell ref="B3:T3"/>
    <mergeCell ref="F7:L7"/>
    <mergeCell ref="M7:Q7"/>
    <mergeCell ref="B10:D10"/>
    <mergeCell ref="T10:U10"/>
    <mergeCell ref="I10:J10"/>
    <mergeCell ref="I9:J9"/>
    <mergeCell ref="G10:H10"/>
    <mergeCell ref="A7:A8"/>
    <mergeCell ref="A5:M5"/>
    <mergeCell ref="R9:S9"/>
    <mergeCell ref="T9:U9"/>
    <mergeCell ref="E7:E8"/>
    <mergeCell ref="B7:D8"/>
    <mergeCell ref="G8:H8"/>
    <mergeCell ref="I8:J8"/>
    <mergeCell ref="R8:S8"/>
    <mergeCell ref="G9:H9"/>
    <mergeCell ref="R10:S10"/>
    <mergeCell ref="R26:S26"/>
    <mergeCell ref="V19:W19"/>
    <mergeCell ref="R19:S19"/>
    <mergeCell ref="V21:W21"/>
    <mergeCell ref="T24:U24"/>
    <mergeCell ref="V24:W24"/>
    <mergeCell ref="V23:W23"/>
    <mergeCell ref="R15:S15"/>
    <mergeCell ref="T14:U14"/>
    <mergeCell ref="AB7:AF7"/>
    <mergeCell ref="V12:W12"/>
    <mergeCell ref="V14:W14"/>
    <mergeCell ref="V13:W13"/>
    <mergeCell ref="Z9:AA9"/>
    <mergeCell ref="Z10:AA10"/>
    <mergeCell ref="X14:Y14"/>
    <mergeCell ref="Z14:AA14"/>
    <mergeCell ref="X12:Y12"/>
    <mergeCell ref="X13:Y13"/>
    <mergeCell ref="AK8:AN8"/>
    <mergeCell ref="Z8:AA8"/>
    <mergeCell ref="V10:W10"/>
    <mergeCell ref="AG8:AJ8"/>
    <mergeCell ref="X8:Y8"/>
    <mergeCell ref="X15:Y15"/>
    <mergeCell ref="Z13:AA13"/>
    <mergeCell ref="X10:Y10"/>
    <mergeCell ref="X9:Y9"/>
    <mergeCell ref="Z12:AA12"/>
    <mergeCell ref="Z22:AA22"/>
    <mergeCell ref="Z15:AA15"/>
    <mergeCell ref="AN11:AN15"/>
    <mergeCell ref="AM20:AM24"/>
    <mergeCell ref="AN20:AN24"/>
    <mergeCell ref="AI10:AI16"/>
    <mergeCell ref="AH10:AH16"/>
    <mergeCell ref="Z24:AA24"/>
    <mergeCell ref="AG10:AG16"/>
    <mergeCell ref="AJ18:AJ19"/>
    <mergeCell ref="AK16:AN18"/>
    <mergeCell ref="AI18:AI19"/>
    <mergeCell ref="Z11:AA11"/>
    <mergeCell ref="R14:S14"/>
    <mergeCell ref="T13:U13"/>
    <mergeCell ref="T12:U12"/>
    <mergeCell ref="AP20:AP22"/>
    <mergeCell ref="AO20:AO22"/>
    <mergeCell ref="AH18:AH19"/>
    <mergeCell ref="AG18:AG19"/>
    <mergeCell ref="AM11:AM15"/>
    <mergeCell ref="X11:Y11"/>
    <mergeCell ref="X19:Y19"/>
    <mergeCell ref="X20:Y20"/>
    <mergeCell ref="X21:Y21"/>
    <mergeCell ref="Z21:AA21"/>
    <mergeCell ref="R24:S24"/>
    <mergeCell ref="Z19:AA19"/>
    <mergeCell ref="X22:Y22"/>
    <mergeCell ref="R22:S22"/>
    <mergeCell ref="X24:Y24"/>
    <mergeCell ref="Z20:AA20"/>
    <mergeCell ref="T19:U19"/>
    <mergeCell ref="T20:U20"/>
    <mergeCell ref="T21:U21"/>
    <mergeCell ref="T22:U22"/>
    <mergeCell ref="V20:W20"/>
    <mergeCell ref="R11:S11"/>
    <mergeCell ref="R20:S20"/>
    <mergeCell ref="V15:W15"/>
    <mergeCell ref="R12:S12"/>
    <mergeCell ref="R13:S13"/>
    <mergeCell ref="T15:U15"/>
    <mergeCell ref="V11:W11"/>
    <mergeCell ref="E62:E64"/>
    <mergeCell ref="B65:D65"/>
    <mergeCell ref="B66:D66"/>
    <mergeCell ref="B51:D51"/>
    <mergeCell ref="Z23:AA23"/>
    <mergeCell ref="B15:D15"/>
    <mergeCell ref="G20:H20"/>
    <mergeCell ref="G21:H21"/>
    <mergeCell ref="I20:J20"/>
    <mergeCell ref="V22:W22"/>
    <mergeCell ref="L59:P61"/>
    <mergeCell ref="V65:W65"/>
    <mergeCell ref="G68:H68"/>
    <mergeCell ref="V68:W68"/>
    <mergeCell ref="G65:H65"/>
    <mergeCell ref="B41:D41"/>
    <mergeCell ref="I68:J68"/>
    <mergeCell ref="M56:P56"/>
    <mergeCell ref="B44:D44"/>
    <mergeCell ref="B45:D45"/>
    <mergeCell ref="AB33:AC34"/>
    <mergeCell ref="T71:U71"/>
    <mergeCell ref="R31:S31"/>
    <mergeCell ref="V32:W32"/>
    <mergeCell ref="X62:X64"/>
    <mergeCell ref="Q59:S61"/>
    <mergeCell ref="T62:U64"/>
    <mergeCell ref="S62:S64"/>
    <mergeCell ref="T65:U65"/>
    <mergeCell ref="R32:S32"/>
    <mergeCell ref="Q62:Q64"/>
    <mergeCell ref="Y62:Y64"/>
    <mergeCell ref="V62:W64"/>
    <mergeCell ref="R62:R64"/>
    <mergeCell ref="I79:J79"/>
    <mergeCell ref="I78:J78"/>
    <mergeCell ref="I77:J77"/>
    <mergeCell ref="K62:K64"/>
    <mergeCell ref="M62:M64"/>
    <mergeCell ref="I69:J69"/>
    <mergeCell ref="T59:Y61"/>
    <mergeCell ref="X30:Y30"/>
    <mergeCell ref="T23:U23"/>
    <mergeCell ref="X23:Y23"/>
    <mergeCell ref="Z26:AA26"/>
    <mergeCell ref="X26:Y26"/>
    <mergeCell ref="Z31:AA31"/>
    <mergeCell ref="X32:AA32"/>
    <mergeCell ref="Z30:AA30"/>
    <mergeCell ref="T26:U28"/>
    <mergeCell ref="B23:D23"/>
    <mergeCell ref="A29:E29"/>
    <mergeCell ref="F29:J29"/>
    <mergeCell ref="J38:K38"/>
    <mergeCell ref="H38:I38"/>
    <mergeCell ref="G23:H23"/>
    <mergeCell ref="G24:H24"/>
    <mergeCell ref="K29:K30"/>
    <mergeCell ref="B30:E30"/>
    <mergeCell ref="E26:E28"/>
    <mergeCell ref="B52:D52"/>
    <mergeCell ref="B43:D43"/>
    <mergeCell ref="B53:D53"/>
    <mergeCell ref="B46:D46"/>
    <mergeCell ref="B50:D50"/>
    <mergeCell ref="B31:E31"/>
    <mergeCell ref="A32:E32"/>
    <mergeCell ref="A36:K36"/>
    <mergeCell ref="B40:D40"/>
    <mergeCell ref="F47:I47"/>
    <mergeCell ref="A26:A28"/>
    <mergeCell ref="F38:G38"/>
    <mergeCell ref="G31:H31"/>
    <mergeCell ref="G32:H32"/>
    <mergeCell ref="AB27:AC27"/>
    <mergeCell ref="T30:U30"/>
    <mergeCell ref="T31:U31"/>
    <mergeCell ref="T32:U32"/>
    <mergeCell ref="V26:W26"/>
    <mergeCell ref="X31:Y31"/>
    <mergeCell ref="R29:AA29"/>
    <mergeCell ref="AB29:AD29"/>
    <mergeCell ref="AE32:AF32"/>
    <mergeCell ref="I11:J11"/>
    <mergeCell ref="G12:H12"/>
    <mergeCell ref="G26:H26"/>
    <mergeCell ref="G13:H13"/>
    <mergeCell ref="I13:J13"/>
    <mergeCell ref="G14:H14"/>
    <mergeCell ref="G15:H15"/>
    <mergeCell ref="T66:U66"/>
    <mergeCell ref="F44:I44"/>
    <mergeCell ref="A38:A39"/>
    <mergeCell ref="I62:J64"/>
    <mergeCell ref="B49:D49"/>
    <mergeCell ref="N62:N64"/>
    <mergeCell ref="B47:D47"/>
    <mergeCell ref="B38:D39"/>
    <mergeCell ref="E38:E39"/>
    <mergeCell ref="B42:D42"/>
    <mergeCell ref="B26:D28"/>
    <mergeCell ref="I32:J32"/>
    <mergeCell ref="I26:J26"/>
    <mergeCell ref="I19:J19"/>
    <mergeCell ref="I21:J21"/>
    <mergeCell ref="G22:H22"/>
    <mergeCell ref="I30:J30"/>
    <mergeCell ref="G30:H30"/>
    <mergeCell ref="F27:Q28"/>
    <mergeCell ref="L29:L30"/>
    <mergeCell ref="I14:J14"/>
    <mergeCell ref="I31:J31"/>
    <mergeCell ref="I15:J15"/>
    <mergeCell ref="G17:H17"/>
    <mergeCell ref="I17:J17"/>
    <mergeCell ref="G19:H19"/>
    <mergeCell ref="I22:J22"/>
    <mergeCell ref="I23:J23"/>
    <mergeCell ref="I24:J24"/>
    <mergeCell ref="V66:W66"/>
    <mergeCell ref="V71:W71"/>
    <mergeCell ref="G70:H70"/>
    <mergeCell ref="I70:J70"/>
    <mergeCell ref="F50:I50"/>
    <mergeCell ref="F41:I41"/>
    <mergeCell ref="T68:U68"/>
    <mergeCell ref="D56:J56"/>
    <mergeCell ref="D57:J57"/>
    <mergeCell ref="B48:D48"/>
    <mergeCell ref="P90:Q90"/>
    <mergeCell ref="I67:J67"/>
    <mergeCell ref="G67:H67"/>
    <mergeCell ref="L69:Y70"/>
    <mergeCell ref="L67:Y67"/>
    <mergeCell ref="B96:D97"/>
    <mergeCell ref="I97:J97"/>
    <mergeCell ref="G93:H93"/>
    <mergeCell ref="I93:J93"/>
    <mergeCell ref="I94:J94"/>
    <mergeCell ref="I100:J100"/>
    <mergeCell ref="G97:H97"/>
    <mergeCell ref="G98:H98"/>
    <mergeCell ref="I98:J98"/>
    <mergeCell ref="G99:H99"/>
    <mergeCell ref="G100:H100"/>
    <mergeCell ref="I99:J99"/>
    <mergeCell ref="G94:H94"/>
    <mergeCell ref="G91:K91"/>
    <mergeCell ref="B67:D67"/>
    <mergeCell ref="B69:D69"/>
    <mergeCell ref="G96:H96"/>
    <mergeCell ref="I96:J96"/>
    <mergeCell ref="I95:J95"/>
    <mergeCell ref="B94:D95"/>
    <mergeCell ref="B68:D68"/>
    <mergeCell ref="H85:I85"/>
    <mergeCell ref="B79:H79"/>
    <mergeCell ref="G66:H66"/>
    <mergeCell ref="I66:J66"/>
    <mergeCell ref="L62:L64"/>
    <mergeCell ref="O62:O64"/>
    <mergeCell ref="P62:P64"/>
    <mergeCell ref="F62:F64"/>
    <mergeCell ref="G62:H64"/>
    <mergeCell ref="B70:D70"/>
    <mergeCell ref="B71:D71"/>
    <mergeCell ref="B75:H75"/>
    <mergeCell ref="B74:H74"/>
    <mergeCell ref="I74:J74"/>
    <mergeCell ref="I75:J75"/>
    <mergeCell ref="B56:C56"/>
    <mergeCell ref="B57:C57"/>
    <mergeCell ref="A59:K61"/>
    <mergeCell ref="B62:D64"/>
    <mergeCell ref="G69:H69"/>
    <mergeCell ref="A62:A64"/>
    <mergeCell ref="I76:J76"/>
    <mergeCell ref="I65:J65"/>
    <mergeCell ref="B80:H80"/>
    <mergeCell ref="B81:H81"/>
    <mergeCell ref="I80:J80"/>
    <mergeCell ref="I81:J81"/>
    <mergeCell ref="A73:J73"/>
    <mergeCell ref="B76:H76"/>
    <mergeCell ref="B77:H77"/>
    <mergeCell ref="B78:H78"/>
  </mergeCells>
  <conditionalFormatting sqref="Q99 I101:K101 P97:Q97 P95:Q95 AC10:AD10 AC19:AD19 AE10:AF12 AE14:AF21 M94:O94 N96:O96 N99 Q94 Q96 AC22:AF22 AC13:AF13 AE23:AF26 T10:T12 V10:V12 X10 Z10:Z12 F25:AA25 T19 Z14:Z15 X14:X15 V14:V15 T14:T15 V23 V19 X23 X19 Z19 T26 X26 F16:AA16 F26:G26 F18:AA18 F17:G17 F27 R28 V27:W27 V28:AA28 K13:Q13 F10:G15 I10:I15 K14:R15 M17 F19:G19 K26 K23:R23 I19 K19:R19 K22:Q22 K94 K95:N95 K97:M97 K98:Q98 I94:I99 K99 K24:Q24 K66:K68 K70:K71 Q71:R71 R17:S17 M20:M21 T23 F94:G95 F97:G99 G96 K96 I22:I24 F22:G22 F20:F21 F23:F24 M26:N26 R20:R21 P26 R26 K10:R12 Z23:Z24">
    <cfRule type="cellIs" dxfId="195" priority="793" operator="lessThan">
      <formula>0</formula>
    </cfRule>
  </conditionalFormatting>
  <conditionalFormatting sqref="O99">
    <cfRule type="cellIs" dxfId="194" priority="788" operator="lessThan">
      <formula>0</formula>
    </cfRule>
  </conditionalFormatting>
  <conditionalFormatting sqref="G100 I100 K100">
    <cfRule type="cellIs" dxfId="193" priority="786" operator="lessThan">
      <formula>0</formula>
    </cfRule>
  </conditionalFormatting>
  <conditionalFormatting sqref="N100:O100">
    <cfRule type="cellIs" dxfId="192" priority="785" operator="lessThan">
      <formula>0</formula>
    </cfRule>
  </conditionalFormatting>
  <conditionalFormatting sqref="N97:O97">
    <cfRule type="cellIs" dxfId="191" priority="784" operator="lessThan">
      <formula>0</formula>
    </cfRule>
  </conditionalFormatting>
  <conditionalFormatting sqref="O95">
    <cfRule type="cellIs" dxfId="190" priority="783" operator="lessThan">
      <formula>0</formula>
    </cfRule>
  </conditionalFormatting>
  <conditionalFormatting sqref="AC93:AD93">
    <cfRule type="cellIs" dxfId="189" priority="766" operator="lessThan">
      <formula>0</formula>
    </cfRule>
  </conditionalFormatting>
  <conditionalFormatting sqref="AB89:AD92 AB85:AB88 AB94:AD97 AB93 AG85:AM97">
    <cfRule type="cellIs" dxfId="188" priority="768" operator="lessThan">
      <formula>0</formula>
    </cfRule>
  </conditionalFormatting>
  <conditionalFormatting sqref="AB10:AB22 AB23:AD26 AB27">
    <cfRule type="cellIs" dxfId="187" priority="777" operator="lessThan">
      <formula>0</formula>
    </cfRule>
  </conditionalFormatting>
  <conditionalFormatting sqref="AE85:AF97">
    <cfRule type="cellIs" dxfId="186" priority="769" operator="lessThan">
      <formula>0</formula>
    </cfRule>
  </conditionalFormatting>
  <conditionalFormatting sqref="AC85:AD88">
    <cfRule type="cellIs" dxfId="185" priority="767" operator="lessThan">
      <formula>0</formula>
    </cfRule>
  </conditionalFormatting>
  <conditionalFormatting sqref="AC11:AD12 AC14:AD18">
    <cfRule type="cellIs" dxfId="184" priority="765" operator="lessThan">
      <formula>0</formula>
    </cfRule>
  </conditionalFormatting>
  <conditionalFormatting sqref="AC20:AD20 AC21">
    <cfRule type="cellIs" dxfId="183" priority="763" operator="lessThan">
      <formula>0</formula>
    </cfRule>
  </conditionalFormatting>
  <conditionalFormatting sqref="AK15:AL15 M31:R31 N32 P32 AC32 B30:B31 A29:A32 V31 AD33:AE33 AB33 F49:F50 G48:G49 F51:G52 J50 D56 F55:G55">
    <cfRule type="cellIs" dxfId="182" priority="738" operator="lessThan">
      <formula>0</formula>
    </cfRule>
  </conditionalFormatting>
  <conditionalFormatting sqref="AI24:AJ24">
    <cfRule type="cellIs" dxfId="181" priority="737" operator="lessThan">
      <formula>0</formula>
    </cfRule>
  </conditionalFormatting>
  <conditionalFormatting sqref="AG24:AH24">
    <cfRule type="cellIs" dxfId="180" priority="735" operator="lessThan">
      <formula>0</formula>
    </cfRule>
  </conditionalFormatting>
  <conditionalFormatting sqref="AK24:AL24">
    <cfRule type="cellIs" dxfId="179" priority="731" operator="lessThan">
      <formula>0</formula>
    </cfRule>
  </conditionalFormatting>
  <conditionalFormatting sqref="AG10:AL10 AK19:AL19 AG18:AJ18 AG20:AL25 AK11:AL15 L31:R31 N32 P32 Z31 V31 AB31:AD31 AG28 AD33:AE33 AC32 AB33 F49:F50 G48:G49 F51:G52 J50 D56 F55:G55">
    <cfRule type="cellIs" dxfId="178" priority="729" stopIfTrue="1" operator="lessThan">
      <formula>0</formula>
    </cfRule>
  </conditionalFormatting>
  <conditionalFormatting sqref="R34:R37 AD34:AD37">
    <cfRule type="cellIs" dxfId="177" priority="705" stopIfTrue="1" operator="lessThan">
      <formula>0</formula>
    </cfRule>
  </conditionalFormatting>
  <conditionalFormatting sqref="M29:M30 AB29:AB30 F29:F31 F33:H35 M34:R35 Z31 M33:AA33 R29:R30 AB31:AD31 AD34:AD37 AC32 N37:R37 Q36:R36">
    <cfRule type="cellIs" dxfId="176" priority="693" operator="lessThan">
      <formula>0</formula>
    </cfRule>
  </conditionalFormatting>
  <conditionalFormatting sqref="I31">
    <cfRule type="cellIs" dxfId="175" priority="686" operator="lessThan">
      <formula>0</formula>
    </cfRule>
  </conditionalFormatting>
  <conditionalFormatting sqref="L31">
    <cfRule type="cellIs" dxfId="174" priority="681" operator="lessThan">
      <formula>0</formula>
    </cfRule>
  </conditionalFormatting>
  <conditionalFormatting sqref="F32">
    <cfRule type="cellIs" dxfId="173" priority="652" operator="lessThan">
      <formula>0</formula>
    </cfRule>
  </conditionalFormatting>
  <conditionalFormatting sqref="B34:Q35 B33:AA33 I31 A31:B31 F31:F32 A32 N37:Q37 Q36">
    <cfRule type="cellIs" dxfId="172" priority="651" stopIfTrue="1" operator="lessThan">
      <formula>0</formula>
    </cfRule>
  </conditionalFormatting>
  <conditionalFormatting sqref="P31">
    <cfRule type="cellIs" dxfId="171" priority="648" operator="lessThan">
      <formula>0</formula>
    </cfRule>
  </conditionalFormatting>
  <conditionalFormatting sqref="AP23">
    <cfRule type="containsText" dxfId="170" priority="476" stopIfTrue="1" operator="containsText" text="ПОМИЛКА">
      <formula>NOT(ISERROR(SEARCH("ПОМИЛКА",AP23)))</formula>
    </cfRule>
    <cfRule type="containsText" dxfId="169" priority="477" stopIfTrue="1" operator="containsText" text="ПРАВДА">
      <formula>NOT(ISERROR(SEARCH("ПРАВДА",AP23)))</formula>
    </cfRule>
    <cfRule type="containsText" dxfId="168" priority="478" stopIfTrue="1" operator="containsText" text="НЕПРАВДА">
      <formula>NOT(ISERROR(SEARCH("НЕПРАВДА",AP23)))</formula>
    </cfRule>
  </conditionalFormatting>
  <conditionalFormatting sqref="AO23">
    <cfRule type="containsText" dxfId="167" priority="482" stopIfTrue="1" operator="containsText" text="ПОМИЛКА">
      <formula>NOT(ISERROR(SEARCH("ПОМИЛКА",AO23)))</formula>
    </cfRule>
    <cfRule type="containsText" dxfId="166" priority="483" stopIfTrue="1" operator="containsText" text="ПРАВДА">
      <formula>NOT(ISERROR(SEARCH("ПРАВДА",AO23)))</formula>
    </cfRule>
    <cfRule type="containsText" dxfId="165" priority="484" stopIfTrue="1" operator="containsText" text="НЕПРАВДА">
      <formula>NOT(ISERROR(SEARCH("НЕПРАВДА",AO23)))</formula>
    </cfRule>
  </conditionalFormatting>
  <conditionalFormatting sqref="A34:A35">
    <cfRule type="cellIs" dxfId="164" priority="469" operator="lessThan">
      <formula>0</formula>
    </cfRule>
  </conditionalFormatting>
  <conditionalFormatting sqref="A34:A35">
    <cfRule type="cellIs" dxfId="163" priority="468" stopIfTrue="1" operator="lessThan">
      <formula>0</formula>
    </cfRule>
  </conditionalFormatting>
  <conditionalFormatting sqref="P30">
    <cfRule type="cellIs" dxfId="162" priority="371" operator="lessThan">
      <formula>0</formula>
    </cfRule>
  </conditionalFormatting>
  <conditionalFormatting sqref="P30">
    <cfRule type="cellIs" dxfId="161" priority="370" stopIfTrue="1" operator="lessThan">
      <formula>0</formula>
    </cfRule>
  </conditionalFormatting>
  <conditionalFormatting sqref="G31:G32">
    <cfRule type="cellIs" dxfId="160" priority="369" operator="lessThan">
      <formula>0</formula>
    </cfRule>
  </conditionalFormatting>
  <conditionalFormatting sqref="G32">
    <cfRule type="cellIs" dxfId="159" priority="368" operator="lessThan">
      <formula>0</formula>
    </cfRule>
  </conditionalFormatting>
  <conditionalFormatting sqref="G31:G32">
    <cfRule type="cellIs" dxfId="158" priority="367" stopIfTrue="1" operator="lessThan">
      <formula>0</formula>
    </cfRule>
  </conditionalFormatting>
  <conditionalFormatting sqref="AB32">
    <cfRule type="cellIs" dxfId="157" priority="270" operator="lessThan">
      <formula>0</formula>
    </cfRule>
  </conditionalFormatting>
  <conditionalFormatting sqref="AB32">
    <cfRule type="cellIs" dxfId="156" priority="269" stopIfTrue="1" operator="lessThan">
      <formula>0</formula>
    </cfRule>
  </conditionalFormatting>
  <conditionalFormatting sqref="X32">
    <cfRule type="cellIs" dxfId="155" priority="240" operator="lessThan">
      <formula>0</formula>
    </cfRule>
  </conditionalFormatting>
  <conditionalFormatting sqref="X32">
    <cfRule type="cellIs" dxfId="154" priority="239" stopIfTrue="1" operator="lessThan">
      <formula>0</formula>
    </cfRule>
  </conditionalFormatting>
  <conditionalFormatting sqref="I32">
    <cfRule type="cellIs" dxfId="153" priority="183" operator="lessThan">
      <formula>0</formula>
    </cfRule>
  </conditionalFormatting>
  <conditionalFormatting sqref="I32">
    <cfRule type="cellIs" dxfId="152" priority="182" stopIfTrue="1" operator="lessThan">
      <formula>0</formula>
    </cfRule>
  </conditionalFormatting>
  <conditionalFormatting sqref="K32">
    <cfRule type="cellIs" dxfId="151" priority="181" operator="lessThan">
      <formula>0</formula>
    </cfRule>
  </conditionalFormatting>
  <conditionalFormatting sqref="K32">
    <cfRule type="cellIs" dxfId="150" priority="180" stopIfTrue="1" operator="lessThan">
      <formula>0</formula>
    </cfRule>
  </conditionalFormatting>
  <conditionalFormatting sqref="L32">
    <cfRule type="cellIs" dxfId="149" priority="179" operator="lessThan">
      <formula>0</formula>
    </cfRule>
  </conditionalFormatting>
  <conditionalFormatting sqref="L32">
    <cfRule type="cellIs" dxfId="148" priority="178" stopIfTrue="1" operator="lessThan">
      <formula>0</formula>
    </cfRule>
  </conditionalFormatting>
  <conditionalFormatting sqref="M32">
    <cfRule type="cellIs" dxfId="147" priority="177" operator="lessThan">
      <formula>0</formula>
    </cfRule>
  </conditionalFormatting>
  <conditionalFormatting sqref="M32">
    <cfRule type="cellIs" dxfId="146" priority="176" stopIfTrue="1" operator="lessThan">
      <formula>0</formula>
    </cfRule>
  </conditionalFormatting>
  <conditionalFormatting sqref="O32">
    <cfRule type="cellIs" dxfId="145" priority="175" operator="lessThan">
      <formula>0</formula>
    </cfRule>
  </conditionalFormatting>
  <conditionalFormatting sqref="O32">
    <cfRule type="cellIs" dxfId="144" priority="174" stopIfTrue="1" operator="lessThan">
      <formula>0</formula>
    </cfRule>
  </conditionalFormatting>
  <conditionalFormatting sqref="V32">
    <cfRule type="cellIs" dxfId="143" priority="166" stopIfTrue="1" operator="lessThan">
      <formula>0</formula>
    </cfRule>
  </conditionalFormatting>
  <conditionalFormatting sqref="Q32">
    <cfRule type="cellIs" dxfId="142" priority="173" operator="lessThan">
      <formula>0</formula>
    </cfRule>
  </conditionalFormatting>
  <conditionalFormatting sqref="Q32">
    <cfRule type="cellIs" dxfId="141" priority="172" stopIfTrue="1" operator="lessThan">
      <formula>0</formula>
    </cfRule>
  </conditionalFormatting>
  <conditionalFormatting sqref="R32">
    <cfRule type="cellIs" dxfId="140" priority="171" operator="lessThan">
      <formula>0</formula>
    </cfRule>
  </conditionalFormatting>
  <conditionalFormatting sqref="R32">
    <cfRule type="cellIs" dxfId="139" priority="170" stopIfTrue="1" operator="lessThan">
      <formula>0</formula>
    </cfRule>
  </conditionalFormatting>
  <conditionalFormatting sqref="V32">
    <cfRule type="cellIs" dxfId="138" priority="167" operator="lessThan">
      <formula>0</formula>
    </cfRule>
  </conditionalFormatting>
  <conditionalFormatting sqref="T31:T32">
    <cfRule type="cellIs" dxfId="137" priority="165" operator="lessThan">
      <formula>0</formula>
    </cfRule>
  </conditionalFormatting>
  <conditionalFormatting sqref="T31:T32">
    <cfRule type="cellIs" dxfId="136" priority="164" stopIfTrue="1" operator="lessThan">
      <formula>0</formula>
    </cfRule>
  </conditionalFormatting>
  <conditionalFormatting sqref="AD32">
    <cfRule type="cellIs" dxfId="135" priority="150" stopIfTrue="1" operator="lessThan">
      <formula>0</formula>
    </cfRule>
  </conditionalFormatting>
  <conditionalFormatting sqref="AD32">
    <cfRule type="cellIs" dxfId="134" priority="151" operator="lessThan">
      <formula>0</formula>
    </cfRule>
  </conditionalFormatting>
  <conditionalFormatting sqref="T66 V66 X66 X68 V68 T68 T71 V71 X71">
    <cfRule type="cellIs" dxfId="133" priority="143" operator="lessThan">
      <formula>0</formula>
    </cfRule>
  </conditionalFormatting>
  <conditionalFormatting sqref="L66:O66 L68:O68 L67 L71:O71 L69">
    <cfRule type="cellIs" dxfId="132" priority="145" operator="lessThan">
      <formula>0</formula>
    </cfRule>
  </conditionalFormatting>
  <conditionalFormatting sqref="Q66:R66 Q68:R68">
    <cfRule type="cellIs" dxfId="131" priority="144" operator="lessThan">
      <formula>0</formula>
    </cfRule>
  </conditionalFormatting>
  <conditionalFormatting sqref="P66">
    <cfRule type="containsText" dxfId="130" priority="140" stopIfTrue="1" operator="containsText" text="ПОМИЛКА">
      <formula>NOT(ISERROR(SEARCH("ПОМИЛКА",P66)))</formula>
    </cfRule>
    <cfRule type="containsText" dxfId="129" priority="141" stopIfTrue="1" operator="containsText" text="Увага">
      <formula>NOT(ISERROR(SEARCH("Увага",P66)))</formula>
    </cfRule>
    <cfRule type="containsText" dxfId="128" priority="142" stopIfTrue="1" operator="containsText" text="ПРАВДА">
      <formula>NOT(ISERROR(SEARCH("ПРАВДА",P66)))</formula>
    </cfRule>
  </conditionalFormatting>
  <conditionalFormatting sqref="P71">
    <cfRule type="containsText" dxfId="127" priority="137" stopIfTrue="1" operator="containsText" text="ПОМИЛКА">
      <formula>NOT(ISERROR(SEARCH("ПОМИЛКА",P71)))</formula>
    </cfRule>
    <cfRule type="containsText" dxfId="126" priority="138" stopIfTrue="1" operator="containsText" text="Увага">
      <formula>NOT(ISERROR(SEARCH("Увага",P71)))</formula>
    </cfRule>
    <cfRule type="containsText" dxfId="125" priority="139" stopIfTrue="1" operator="containsText" text="ПРАВДА">
      <formula>NOT(ISERROR(SEARCH("ПРАВДА",P71)))</formula>
    </cfRule>
  </conditionalFormatting>
  <conditionalFormatting sqref="P68">
    <cfRule type="containsText" dxfId="124" priority="134" stopIfTrue="1" operator="containsText" text="ПОМИЛКА">
      <formula>NOT(ISERROR(SEARCH("ПОМИЛКА",P68)))</formula>
    </cfRule>
    <cfRule type="containsText" dxfId="123" priority="135" stopIfTrue="1" operator="containsText" text="Увага">
      <formula>NOT(ISERROR(SEARCH("Увага",P68)))</formula>
    </cfRule>
    <cfRule type="containsText" dxfId="122" priority="136" stopIfTrue="1" operator="containsText" text="ПРАВДА">
      <formula>NOT(ISERROR(SEARCH("ПРАВДА",P68)))</formula>
    </cfRule>
  </conditionalFormatting>
  <conditionalFormatting sqref="S66">
    <cfRule type="containsText" dxfId="121" priority="131" stopIfTrue="1" operator="containsText" text="ПОМИЛКА">
      <formula>NOT(ISERROR(SEARCH("ПОМИЛКА",S66)))</formula>
    </cfRule>
    <cfRule type="containsText" dxfId="120" priority="132" stopIfTrue="1" operator="containsText" text="Увага">
      <formula>NOT(ISERROR(SEARCH("Увага",S66)))</formula>
    </cfRule>
    <cfRule type="containsText" dxfId="119" priority="133" stopIfTrue="1" operator="containsText" text="ПРАВДА">
      <formula>NOT(ISERROR(SEARCH("ПРАВДА",S66)))</formula>
    </cfRule>
  </conditionalFormatting>
  <conditionalFormatting sqref="S71">
    <cfRule type="containsText" dxfId="118" priority="128" stopIfTrue="1" operator="containsText" text="ПОМИЛКА">
      <formula>NOT(ISERROR(SEARCH("ПОМИЛКА",S71)))</formula>
    </cfRule>
    <cfRule type="containsText" dxfId="117" priority="129" stopIfTrue="1" operator="containsText" text="Увага">
      <formula>NOT(ISERROR(SEARCH("Увага",S71)))</formula>
    </cfRule>
    <cfRule type="containsText" dxfId="116" priority="130" stopIfTrue="1" operator="containsText" text="ПРАВДА">
      <formula>NOT(ISERROR(SEARCH("ПРАВДА",S71)))</formula>
    </cfRule>
  </conditionalFormatting>
  <conditionalFormatting sqref="Y66">
    <cfRule type="containsText" dxfId="115" priority="122" stopIfTrue="1" operator="containsText" text="ПОМИЛКА">
      <formula>NOT(ISERROR(SEARCH("ПОМИЛКА",Y66)))</formula>
    </cfRule>
    <cfRule type="containsText" dxfId="114" priority="123" stopIfTrue="1" operator="containsText" text="Увага">
      <formula>NOT(ISERROR(SEARCH("Увага",Y66)))</formula>
    </cfRule>
    <cfRule type="containsText" dxfId="113" priority="124" stopIfTrue="1" operator="containsText" text="ПРАВДА">
      <formula>NOT(ISERROR(SEARCH("ПРАВДА",Y66)))</formula>
    </cfRule>
  </conditionalFormatting>
  <conditionalFormatting sqref="Y71">
    <cfRule type="containsText" dxfId="112" priority="119" stopIfTrue="1" operator="containsText" text="ПОМИЛКА">
      <formula>NOT(ISERROR(SEARCH("ПОМИЛКА",Y71)))</formula>
    </cfRule>
    <cfRule type="containsText" dxfId="111" priority="120" stopIfTrue="1" operator="containsText" text="Увага">
      <formula>NOT(ISERROR(SEARCH("Увага",Y71)))</formula>
    </cfRule>
    <cfRule type="containsText" dxfId="110" priority="121" stopIfTrue="1" operator="containsText" text="ПРАВДА">
      <formula>NOT(ISERROR(SEARCH("ПРАВДА",Y71)))</formula>
    </cfRule>
  </conditionalFormatting>
  <conditionalFormatting sqref="AH17">
    <cfRule type="containsText" dxfId="109" priority="110" stopIfTrue="1" operator="containsText" text="ПОМИЛКА">
      <formula>NOT(ISERROR(SEARCH("ПОМИЛКА",AH17)))</formula>
    </cfRule>
    <cfRule type="containsText" dxfId="108" priority="111" stopIfTrue="1" operator="containsText" text="Увага">
      <formula>NOT(ISERROR(SEARCH("Увага",AH17)))</formula>
    </cfRule>
    <cfRule type="containsText" dxfId="107" priority="112" stopIfTrue="1" operator="containsText" text="ПРАВДА">
      <formula>NOT(ISERROR(SEARCH("ПРАВДА",AH17)))</formula>
    </cfRule>
  </conditionalFormatting>
  <conditionalFormatting sqref="AG17">
    <cfRule type="containsText" dxfId="106" priority="113" stopIfTrue="1" operator="containsText" text="ПОМИЛКА">
      <formula>NOT(ISERROR(SEARCH("ПОМИЛКА",AG17)))</formula>
    </cfRule>
    <cfRule type="containsText" dxfId="105" priority="114" stopIfTrue="1" operator="containsText" text="Увага">
      <formula>NOT(ISERROR(SEARCH("Увага",AG17)))</formula>
    </cfRule>
    <cfRule type="containsText" dxfId="104" priority="115" stopIfTrue="1" operator="containsText" text="ПРАВДА">
      <formula>NOT(ISERROR(SEARCH("ПРАВДА",AG17)))</formula>
    </cfRule>
  </conditionalFormatting>
  <conditionalFormatting sqref="AI17">
    <cfRule type="containsText" dxfId="103" priority="107" stopIfTrue="1" operator="containsText" text="ПОМИЛКА">
      <formula>NOT(ISERROR(SEARCH("ПОМИЛКА",AI17)))</formula>
    </cfRule>
    <cfRule type="containsText" dxfId="102" priority="108" stopIfTrue="1" operator="containsText" text="Увага">
      <formula>NOT(ISERROR(SEARCH("Увага",AI17)))</formula>
    </cfRule>
    <cfRule type="containsText" dxfId="101" priority="109" stopIfTrue="1" operator="containsText" text="ПРАВДА">
      <formula>NOT(ISERROR(SEARCH("ПРАВДА",AI17)))</formula>
    </cfRule>
  </conditionalFormatting>
  <conditionalFormatting sqref="AJ17">
    <cfRule type="containsText" dxfId="100" priority="104" stopIfTrue="1" operator="containsText" text="ПОМИЛКА">
      <formula>NOT(ISERROR(SEARCH("ПОМИЛКА",AJ17)))</formula>
    </cfRule>
    <cfRule type="containsText" dxfId="99" priority="105" stopIfTrue="1" operator="containsText" text="Увага">
      <formula>NOT(ISERROR(SEARCH("Увага",AJ17)))</formula>
    </cfRule>
    <cfRule type="containsText" dxfId="98" priority="106" stopIfTrue="1" operator="containsText" text="ПРАВДА">
      <formula>NOT(ISERROR(SEARCH("ПРАВДА",AJ17)))</formula>
    </cfRule>
  </conditionalFormatting>
  <conditionalFormatting sqref="AM19">
    <cfRule type="containsText" dxfId="97" priority="101" stopIfTrue="1" operator="containsText" text="ПОМИЛКА">
      <formula>NOT(ISERROR(SEARCH("ПОМИЛКА",AM19)))</formula>
    </cfRule>
    <cfRule type="containsText" dxfId="96" priority="102" stopIfTrue="1" operator="containsText" text="Увага">
      <formula>NOT(ISERROR(SEARCH("Увага",AM19)))</formula>
    </cfRule>
    <cfRule type="containsText" dxfId="95" priority="103" stopIfTrue="1" operator="containsText" text="ПРАВДА">
      <formula>NOT(ISERROR(SEARCH("ПРАВДА",AM19)))</formula>
    </cfRule>
  </conditionalFormatting>
  <conditionalFormatting sqref="AN19">
    <cfRule type="containsText" dxfId="94" priority="98" stopIfTrue="1" operator="containsText" text="ПОМИЛКА">
      <formula>NOT(ISERROR(SEARCH("ПОМИЛКА",AN19)))</formula>
    </cfRule>
    <cfRule type="containsText" dxfId="93" priority="99" stopIfTrue="1" operator="containsText" text="Увага">
      <formula>NOT(ISERROR(SEARCH("Увага",AN19)))</formula>
    </cfRule>
    <cfRule type="containsText" dxfId="92" priority="100" stopIfTrue="1" operator="containsText" text="ПРАВДА">
      <formula>NOT(ISERROR(SEARCH("ПРАВДА",AN19)))</formula>
    </cfRule>
  </conditionalFormatting>
  <conditionalFormatting sqref="AM10">
    <cfRule type="containsText" dxfId="91" priority="95" stopIfTrue="1" operator="containsText" text="ПОМИЛКА">
      <formula>NOT(ISERROR(SEARCH("ПОМИЛКА",AM10)))</formula>
    </cfRule>
    <cfRule type="containsText" dxfId="90" priority="96" stopIfTrue="1" operator="containsText" text="Увага">
      <formula>NOT(ISERROR(SEARCH("Увага",AM10)))</formula>
    </cfRule>
    <cfRule type="containsText" dxfId="89" priority="97" stopIfTrue="1" operator="containsText" text="ПРАВДА">
      <formula>NOT(ISERROR(SEARCH("ПРАВДА",AM10)))</formula>
    </cfRule>
  </conditionalFormatting>
  <conditionalFormatting sqref="AN10">
    <cfRule type="containsText" dxfId="88" priority="92" stopIfTrue="1" operator="containsText" text="ПОМИЛКА">
      <formula>NOT(ISERROR(SEARCH("ПОМИЛКА",AN10)))</formula>
    </cfRule>
    <cfRule type="containsText" dxfId="87" priority="93" stopIfTrue="1" operator="containsText" text="Увага">
      <formula>NOT(ISERROR(SEARCH("Увага",AN10)))</formula>
    </cfRule>
    <cfRule type="containsText" dxfId="86" priority="94" stopIfTrue="1" operator="containsText" text="ПРАВДА">
      <formula>NOT(ISERROR(SEARCH("ПРАВДА",AN10)))</formula>
    </cfRule>
  </conditionalFormatting>
  <conditionalFormatting sqref="F48">
    <cfRule type="cellIs" dxfId="85" priority="90" operator="lessThan">
      <formula>0</formula>
    </cfRule>
  </conditionalFormatting>
  <conditionalFormatting sqref="F43 G42:G43 F45:G46">
    <cfRule type="cellIs" dxfId="84" priority="86" operator="lessThan">
      <formula>0</formula>
    </cfRule>
  </conditionalFormatting>
  <conditionalFormatting sqref="F43 G42:G43 F45:G46">
    <cfRule type="cellIs" dxfId="83" priority="85" stopIfTrue="1" operator="lessThan">
      <formula>0</formula>
    </cfRule>
  </conditionalFormatting>
  <conditionalFormatting sqref="F42">
    <cfRule type="cellIs" dxfId="82" priority="84" operator="lessThan">
      <formula>0</formula>
    </cfRule>
  </conditionalFormatting>
  <conditionalFormatting sqref="X11:X12">
    <cfRule type="cellIs" dxfId="81" priority="83" operator="lessThan">
      <formula>0</formula>
    </cfRule>
  </conditionalFormatting>
  <conditionalFormatting sqref="AE32">
    <cfRule type="containsText" dxfId="80" priority="80" stopIfTrue="1" operator="containsText" text="ПОМИЛКА">
      <formula>NOT(ISERROR(SEARCH("ПОМИЛКА",AE32)))</formula>
    </cfRule>
    <cfRule type="containsText" dxfId="79" priority="81" stopIfTrue="1" operator="containsText" text="Увага">
      <formula>NOT(ISERROR(SEARCH("Увага",AE32)))</formula>
    </cfRule>
    <cfRule type="containsText" dxfId="78" priority="82" stopIfTrue="1" operator="containsText" text="ПРАВДА">
      <formula>NOT(ISERROR(SEARCH("ПРАВДА",AE32)))</formula>
    </cfRule>
  </conditionalFormatting>
  <conditionalFormatting sqref="Y68">
    <cfRule type="containsText" dxfId="77" priority="77" stopIfTrue="1" operator="containsText" text="ПОМИЛКА">
      <formula>NOT(ISERROR(SEARCH("ПОМИЛКА",Y68)))</formula>
    </cfRule>
    <cfRule type="containsText" dxfId="76" priority="78" stopIfTrue="1" operator="containsText" text="Увага">
      <formula>NOT(ISERROR(SEARCH("Увага",Y68)))</formula>
    </cfRule>
    <cfRule type="containsText" dxfId="75" priority="79" stopIfTrue="1" operator="containsText" text="ПРАВДА">
      <formula>NOT(ISERROR(SEARCH("ПРАВДА",Y68)))</formula>
    </cfRule>
  </conditionalFormatting>
  <conditionalFormatting sqref="S68">
    <cfRule type="containsText" dxfId="74" priority="74" stopIfTrue="1" operator="containsText" text="ПОМИЛКА">
      <formula>NOT(ISERROR(SEARCH("ПОМИЛКА",S68)))</formula>
    </cfRule>
    <cfRule type="containsText" dxfId="73" priority="75" stopIfTrue="1" operator="containsText" text="Увага">
      <formula>NOT(ISERROR(SEARCH("Увага",S68)))</formula>
    </cfRule>
    <cfRule type="containsText" dxfId="72" priority="76" stopIfTrue="1" operator="containsText" text="ПРАВДА">
      <formula>NOT(ISERROR(SEARCH("ПРАВДА",S68)))</formula>
    </cfRule>
  </conditionalFormatting>
  <conditionalFormatting sqref="K42:K46">
    <cfRule type="cellIs" dxfId="71" priority="71" operator="lessThan">
      <formula>0</formula>
    </cfRule>
  </conditionalFormatting>
  <conditionalFormatting sqref="K42:K46">
    <cfRule type="cellIs" dxfId="70" priority="70" stopIfTrue="1" operator="lessThan">
      <formula>0</formula>
    </cfRule>
  </conditionalFormatting>
  <conditionalFormatting sqref="K53:K54">
    <cfRule type="cellIs" dxfId="69" priority="69" operator="lessThan">
      <formula>0</formula>
    </cfRule>
  </conditionalFormatting>
  <conditionalFormatting sqref="K53:K54">
    <cfRule type="cellIs" dxfId="68" priority="68" stopIfTrue="1" operator="lessThan">
      <formula>0</formula>
    </cfRule>
  </conditionalFormatting>
  <conditionalFormatting sqref="K48:K52">
    <cfRule type="cellIs" dxfId="67" priority="67" operator="lessThan">
      <formula>0</formula>
    </cfRule>
  </conditionalFormatting>
  <conditionalFormatting sqref="K48:K52">
    <cfRule type="cellIs" dxfId="66" priority="66" stopIfTrue="1" operator="lessThan">
      <formula>0</formula>
    </cfRule>
  </conditionalFormatting>
  <conditionalFormatting sqref="F44">
    <cfRule type="cellIs" dxfId="65" priority="65" operator="lessThan">
      <formula>0</formula>
    </cfRule>
  </conditionalFormatting>
  <conditionalFormatting sqref="F44">
    <cfRule type="cellIs" dxfId="64" priority="64" stopIfTrue="1" operator="lessThan">
      <formula>0</formula>
    </cfRule>
  </conditionalFormatting>
  <conditionalFormatting sqref="K41">
    <cfRule type="cellIs" dxfId="63" priority="63" operator="lessThan">
      <formula>0</formula>
    </cfRule>
  </conditionalFormatting>
  <conditionalFormatting sqref="K41">
    <cfRule type="cellIs" dxfId="62" priority="62" stopIfTrue="1" operator="lessThan">
      <formula>0</formula>
    </cfRule>
  </conditionalFormatting>
  <conditionalFormatting sqref="K47">
    <cfRule type="cellIs" dxfId="61" priority="61" operator="lessThan">
      <formula>0</formula>
    </cfRule>
  </conditionalFormatting>
  <conditionalFormatting sqref="K47">
    <cfRule type="cellIs" dxfId="60" priority="60" stopIfTrue="1" operator="lessThan">
      <formula>0</formula>
    </cfRule>
  </conditionalFormatting>
  <conditionalFormatting sqref="R24">
    <cfRule type="cellIs" dxfId="59" priority="59" operator="lessThan">
      <formula>0</formula>
    </cfRule>
  </conditionalFormatting>
  <conditionalFormatting sqref="AD21">
    <cfRule type="cellIs" dxfId="58" priority="58" operator="lessThan">
      <formula>0</formula>
    </cfRule>
  </conditionalFormatting>
  <conditionalFormatting sqref="K69">
    <cfRule type="cellIs" dxfId="57" priority="56" operator="lessThan">
      <formula>0</formula>
    </cfRule>
  </conditionalFormatting>
  <conditionalFormatting sqref="S84">
    <cfRule type="containsText" dxfId="56" priority="53" stopIfTrue="1" operator="containsText" text="ПОМИЛКА">
      <formula>NOT(ISERROR(SEARCH("ПОМИЛКА",S84)))</formula>
    </cfRule>
    <cfRule type="containsText" dxfId="55" priority="54" stopIfTrue="1" operator="containsText" text="Увага">
      <formula>NOT(ISERROR(SEARCH("Увага",S84)))</formula>
    </cfRule>
    <cfRule type="containsText" dxfId="54" priority="55" stopIfTrue="1" operator="containsText" text="ПРАВДА">
      <formula>NOT(ISERROR(SEARCH("ПРАВДА",S84)))</formula>
    </cfRule>
  </conditionalFormatting>
  <conditionalFormatting sqref="H85">
    <cfRule type="containsText" dxfId="53" priority="50" stopIfTrue="1" operator="containsText" text="ПОМИЛКА">
      <formula>NOT(ISERROR(SEARCH("ПОМИЛКА",H85)))</formula>
    </cfRule>
    <cfRule type="containsText" dxfId="52" priority="51" stopIfTrue="1" operator="containsText" text="Увага">
      <formula>NOT(ISERROR(SEARCH("Увага",H85)))</formula>
    </cfRule>
    <cfRule type="containsText" dxfId="51" priority="52" stopIfTrue="1" operator="containsText" text="ПРАВДА">
      <formula>NOT(ISERROR(SEARCH("ПРАВДА",H85)))</formula>
    </cfRule>
  </conditionalFormatting>
  <conditionalFormatting sqref="G86">
    <cfRule type="cellIs" dxfId="50" priority="40" operator="lessThan">
      <formula>0</formula>
    </cfRule>
  </conditionalFormatting>
  <conditionalFormatting sqref="G87:G88">
    <cfRule type="cellIs" dxfId="49" priority="39" operator="lessThan">
      <formula>0</formula>
    </cfRule>
  </conditionalFormatting>
  <conditionalFormatting sqref="D57:D58">
    <cfRule type="cellIs" dxfId="48" priority="38" operator="lessThan">
      <formula>0</formula>
    </cfRule>
  </conditionalFormatting>
  <conditionalFormatting sqref="D57:D58">
    <cfRule type="cellIs" dxfId="47" priority="37" stopIfTrue="1" operator="lessThan">
      <formula>0</formula>
    </cfRule>
  </conditionalFormatting>
  <conditionalFormatting sqref="L56">
    <cfRule type="containsText" dxfId="46" priority="34" stopIfTrue="1" operator="containsText" text="ПОМИЛКА">
      <formula>NOT(ISERROR(SEARCH("ПОМИЛКА",L56)))</formula>
    </cfRule>
    <cfRule type="containsText" dxfId="45" priority="35" stopIfTrue="1" operator="containsText" text="Увага">
      <formula>NOT(ISERROR(SEARCH("Увага",L56)))</formula>
    </cfRule>
    <cfRule type="containsText" dxfId="44" priority="36" stopIfTrue="1" operator="containsText" text="ПРАВДА">
      <formula>NOT(ISERROR(SEARCH("ПРАВДА",L56)))</formula>
    </cfRule>
  </conditionalFormatting>
  <conditionalFormatting sqref="I17 K17:L17">
    <cfRule type="cellIs" dxfId="43" priority="33" operator="lessThan">
      <formula>0</formula>
    </cfRule>
  </conditionalFormatting>
  <conditionalFormatting sqref="I20:I21 G20:G21">
    <cfRule type="cellIs" dxfId="42" priority="32" operator="lessThan">
      <formula>0</formula>
    </cfRule>
  </conditionalFormatting>
  <conditionalFormatting sqref="K20:L21">
    <cfRule type="cellIs" dxfId="41" priority="31" operator="lessThan">
      <formula>0</formula>
    </cfRule>
  </conditionalFormatting>
  <conditionalFormatting sqref="G23:G24">
    <cfRule type="cellIs" dxfId="40" priority="30" operator="lessThan">
      <formula>0</formula>
    </cfRule>
  </conditionalFormatting>
  <conditionalFormatting sqref="I26">
    <cfRule type="cellIs" dxfId="39" priority="29" operator="lessThan">
      <formula>0</formula>
    </cfRule>
  </conditionalFormatting>
  <conditionalFormatting sqref="L26">
    <cfRule type="cellIs" dxfId="38" priority="28" operator="lessThan">
      <formula>0</formula>
    </cfRule>
  </conditionalFormatting>
  <conditionalFormatting sqref="N21:Q21 P20:Q20">
    <cfRule type="cellIs" dxfId="37" priority="27" operator="lessThan">
      <formula>0</formula>
    </cfRule>
  </conditionalFormatting>
  <conditionalFormatting sqref="P17:Q17">
    <cfRule type="cellIs" dxfId="36" priority="26" operator="lessThan">
      <formula>0</formula>
    </cfRule>
  </conditionalFormatting>
  <conditionalFormatting sqref="W17:Y17 AA17">
    <cfRule type="cellIs" dxfId="35" priority="23" operator="lessThan">
      <formula>0</formula>
    </cfRule>
  </conditionalFormatting>
  <conditionalFormatting sqref="Z17">
    <cfRule type="cellIs" dxfId="34" priority="20" operator="lessThan">
      <formula>0</formula>
    </cfRule>
  </conditionalFormatting>
  <conditionalFormatting sqref="T24">
    <cfRule type="cellIs" dxfId="33" priority="18" operator="lessThan">
      <formula>0</formula>
    </cfRule>
  </conditionalFormatting>
  <conditionalFormatting sqref="Z26">
    <cfRule type="cellIs" dxfId="32" priority="16" operator="lessThan">
      <formula>0</formula>
    </cfRule>
  </conditionalFormatting>
  <conditionalFormatting sqref="F67">
    <cfRule type="cellIs" dxfId="31" priority="15" operator="lessThan">
      <formula>0</formula>
    </cfRule>
  </conditionalFormatting>
  <conditionalFormatting sqref="G67 I67">
    <cfRule type="cellIs" dxfId="30" priority="14" operator="lessThan">
      <formula>0</formula>
    </cfRule>
  </conditionalFormatting>
  <conditionalFormatting sqref="N20:O20">
    <cfRule type="cellIs" dxfId="29" priority="13" operator="lessThan">
      <formula>0</formula>
    </cfRule>
  </conditionalFormatting>
  <conditionalFormatting sqref="N17:O17">
    <cfRule type="cellIs" dxfId="28" priority="12" operator="lessThan">
      <formula>0</formula>
    </cfRule>
  </conditionalFormatting>
  <conditionalFormatting sqref="O26">
    <cfRule type="cellIs" dxfId="27" priority="11" operator="lessThan">
      <formula>0</formula>
    </cfRule>
  </conditionalFormatting>
  <conditionalFormatting sqref="Q26">
    <cfRule type="cellIs" dxfId="26" priority="10" operator="lessThan">
      <formula>0</formula>
    </cfRule>
  </conditionalFormatting>
  <conditionalFormatting sqref="U17">
    <cfRule type="cellIs" dxfId="25" priority="9" operator="lessThan">
      <formula>0</formula>
    </cfRule>
  </conditionalFormatting>
  <conditionalFormatting sqref="T17">
    <cfRule type="cellIs" dxfId="24" priority="8" operator="lessThan">
      <formula>0</formula>
    </cfRule>
  </conditionalFormatting>
  <conditionalFormatting sqref="V17">
    <cfRule type="cellIs" dxfId="23" priority="7" operator="lessThan">
      <formula>0</formula>
    </cfRule>
  </conditionalFormatting>
  <conditionalFormatting sqref="T20:T21 X20:X21 Z20:Z21 V20:V21">
    <cfRule type="cellIs" dxfId="22" priority="6" operator="lessThan">
      <formula>0</formula>
    </cfRule>
  </conditionalFormatting>
  <conditionalFormatting sqref="V24">
    <cfRule type="cellIs" dxfId="21" priority="5" operator="lessThan">
      <formula>0</formula>
    </cfRule>
  </conditionalFormatting>
  <conditionalFormatting sqref="V26">
    <cfRule type="cellIs" dxfId="20" priority="4" operator="lessThan">
      <formula>0</formula>
    </cfRule>
  </conditionalFormatting>
  <conditionalFormatting sqref="J87">
    <cfRule type="containsText" dxfId="19" priority="1" stopIfTrue="1" operator="containsText" text="ПОМИЛКА">
      <formula>NOT(ISERROR(SEARCH("ПОМИЛКА",J87)))</formula>
    </cfRule>
    <cfRule type="containsText" dxfId="18" priority="2" stopIfTrue="1" operator="containsText" text="Увага">
      <formula>NOT(ISERROR(SEARCH("Увага",J87)))</formula>
    </cfRule>
    <cfRule type="containsText" dxfId="17" priority="3" stopIfTrue="1" operator="containsText" text="ПРАВДА">
      <formula>NOT(ISERROR(SEARCH("ПРАВДА",J87)))</formula>
    </cfRule>
  </conditionalFormatting>
  <dataValidations count="1">
    <dataValidation type="decimal" operator="greaterThanOrEqual" showInputMessage="1" showErrorMessage="1" error="Будь ласка, вкажіть додатнє число." sqref="F10:L15 F19:L24 N14:Q15 T11:AA12 T14:AA15 AB10:AF15 F17 I17:V17 X17:AF17 T23:AA24 N20:Q21 N23:O24 Q23:Q24 N11:Q12 T20:AA21 AB19:AF24 AK11:AL11 AK13:AL13 AK15:AL15 AG20:AL20 AG22:AL22 AG24:AL24 F26 I26:M26 O26 Q26:S26 R28:S28 V28:AA28 V26:AB26 AD26:AF26 F31:F32 I31:M32 O31:O32 Q31:S32 V31:AB32 AD31:AD34 F42 G43:H43 I42 F45 G46:H46 I45 F48 G49:H49 I48 F51 G52:H52 I51 J41:K52 J53:J54 K56:K57 F66:K71 L66:O66 L68:O68 L71:O71 Q66:R66 Q68:R68 Q71:R71 T66:U66 T68:X68 T71:W71 G85:G88 E94:J94 L94 N94:Q94 E96:Q96 E98:F99 G99:Q99 N98 Q98 I76:J81">
      <formula1>0</formula1>
    </dataValidation>
  </dataValidations>
  <printOptions horizontalCentered="1"/>
  <pageMargins left="0.19685039370078741" right="0.27559055118110237" top="0.59055118110236227" bottom="0.35433070866141736" header="0.39370078740157483" footer="0.31496062992125984"/>
  <pageSetup paperSize="9" scale="48" orientation="landscape" r:id="rId1"/>
  <headerFooter alignWithMargins="0">
    <oddFooter>&amp;RСтор.  &amp;P</oddFooter>
  </headerFooter>
  <rowBreaks count="1" manualBreakCount="1">
    <brk id="63" max="16383" man="1"/>
  </rowBreaks>
  <colBreaks count="1" manualBreakCount="1">
    <brk id="2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tabColor rgb="FFFFFF00"/>
  </sheetPr>
  <dimension ref="A1:AI50"/>
  <sheetViews>
    <sheetView view="pageBreakPreview" zoomScale="50" zoomScaleNormal="60" zoomScaleSheetLayoutView="50" workbookViewId="0">
      <selection activeCell="G42" sqref="G42"/>
    </sheetView>
  </sheetViews>
  <sheetFormatPr defaultColWidth="9.28515625" defaultRowHeight="15" x14ac:dyDescent="0.25"/>
  <cols>
    <col min="1" max="1" width="9.28515625" style="31" customWidth="1"/>
    <col min="2" max="2" width="9.28515625" style="31" hidden="1" customWidth="1"/>
    <col min="3" max="3" width="80.85546875" style="31" customWidth="1"/>
    <col min="4" max="4" width="17.5703125" style="31" customWidth="1"/>
    <col min="5" max="5" width="22.5703125" style="31" customWidth="1"/>
    <col min="6" max="6" width="18.28515625" style="31" customWidth="1"/>
    <col min="7" max="7" width="19.28515625" style="31" customWidth="1"/>
    <col min="8" max="8" width="18.28515625" style="31" customWidth="1"/>
    <col min="9" max="9" width="9.28515625" style="95"/>
    <col min="10" max="10" width="123.5703125" style="95" customWidth="1"/>
    <col min="11" max="11" width="9.28515625" style="81" customWidth="1"/>
    <col min="12" max="35" width="9.28515625" style="81"/>
    <col min="36" max="16384" width="9.28515625" style="9"/>
  </cols>
  <sheetData>
    <row r="1" spans="1:35" ht="18" customHeight="1" x14ac:dyDescent="0.25">
      <c r="C1" s="130" t="s">
        <v>0</v>
      </c>
      <c r="D1" s="2869">
        <f>'Звіт 1,2,3'!D1</f>
        <v>2006707</v>
      </c>
      <c r="E1" s="2869"/>
      <c r="F1" s="2870" t="s">
        <v>1</v>
      </c>
      <c r="G1" s="2870"/>
      <c r="H1" s="131">
        <f>'Звіт 1,2,3'!H1</f>
        <v>430</v>
      </c>
    </row>
    <row r="2" spans="1:35" ht="47.65" customHeight="1" x14ac:dyDescent="0.25">
      <c r="F2" s="2871" t="s">
        <v>228</v>
      </c>
      <c r="G2" s="2872"/>
      <c r="H2" s="2872"/>
    </row>
    <row r="3" spans="1:35" ht="23.65" customHeight="1" x14ac:dyDescent="0.3">
      <c r="A3" s="2873" t="s">
        <v>295</v>
      </c>
      <c r="B3" s="2873"/>
      <c r="C3" s="2873"/>
      <c r="D3" s="2873"/>
      <c r="E3" s="2873"/>
      <c r="F3" s="2873"/>
      <c r="G3" s="2873"/>
      <c r="H3" s="2873"/>
    </row>
    <row r="4" spans="1:35" ht="17.649999999999999" customHeight="1" thickBot="1" x14ac:dyDescent="0.35">
      <c r="H4" s="132" t="s">
        <v>262</v>
      </c>
    </row>
    <row r="5" spans="1:35" ht="18.75" customHeight="1" x14ac:dyDescent="0.25">
      <c r="A5" s="2874" t="s">
        <v>6</v>
      </c>
      <c r="B5" s="1467"/>
      <c r="C5" s="2867" t="s">
        <v>7</v>
      </c>
      <c r="D5" s="2386" t="s">
        <v>87</v>
      </c>
      <c r="E5" s="2386" t="s">
        <v>8</v>
      </c>
      <c r="F5" s="2386" t="s">
        <v>95</v>
      </c>
      <c r="G5" s="2386" t="s">
        <v>96</v>
      </c>
      <c r="H5" s="2876" t="s">
        <v>330</v>
      </c>
    </row>
    <row r="6" spans="1:35" ht="18.75" customHeight="1" x14ac:dyDescent="0.25">
      <c r="A6" s="2875"/>
      <c r="B6" s="1468"/>
      <c r="C6" s="2868"/>
      <c r="D6" s="2866"/>
      <c r="E6" s="2866"/>
      <c r="F6" s="2866"/>
      <c r="G6" s="2866"/>
      <c r="H6" s="2877"/>
    </row>
    <row r="7" spans="1:35" ht="15.6" customHeight="1" x14ac:dyDescent="0.25">
      <c r="A7" s="2875"/>
      <c r="B7" s="1468"/>
      <c r="C7" s="2868"/>
      <c r="D7" s="2866"/>
      <c r="E7" s="2866"/>
      <c r="F7" s="2866"/>
      <c r="G7" s="2866"/>
      <c r="H7" s="2877"/>
    </row>
    <row r="8" spans="1:35" s="22" customFormat="1" ht="15.75" x14ac:dyDescent="0.25">
      <c r="A8" s="92" t="s">
        <v>9</v>
      </c>
      <c r="B8" s="1469"/>
      <c r="C8" s="54">
        <v>2</v>
      </c>
      <c r="D8" s="42">
        <v>3</v>
      </c>
      <c r="E8" s="54">
        <v>4</v>
      </c>
      <c r="F8" s="42">
        <v>5</v>
      </c>
      <c r="G8" s="54">
        <v>6</v>
      </c>
      <c r="H8" s="91">
        <v>7</v>
      </c>
      <c r="I8" s="133"/>
      <c r="J8" s="133"/>
      <c r="K8" s="82"/>
      <c r="L8" s="82"/>
      <c r="M8" s="82"/>
      <c r="N8" s="82"/>
      <c r="O8" s="82"/>
      <c r="P8" s="82"/>
      <c r="Q8" s="82"/>
      <c r="R8" s="82"/>
      <c r="S8" s="82"/>
      <c r="T8" s="82"/>
      <c r="U8" s="82"/>
      <c r="V8" s="82"/>
      <c r="W8" s="82"/>
      <c r="X8" s="82"/>
      <c r="Y8" s="82"/>
      <c r="Z8" s="82"/>
      <c r="AA8" s="82"/>
      <c r="AB8" s="82"/>
      <c r="AC8" s="82"/>
      <c r="AD8" s="82"/>
      <c r="AE8" s="82"/>
      <c r="AF8" s="82"/>
      <c r="AG8" s="82"/>
      <c r="AH8" s="82"/>
      <c r="AI8" s="82"/>
    </row>
    <row r="9" spans="1:35" ht="24" customHeight="1" x14ac:dyDescent="0.3">
      <c r="A9" s="135"/>
      <c r="B9" s="1470"/>
      <c r="C9" s="136" t="s">
        <v>197</v>
      </c>
      <c r="D9" s="48">
        <f>SUM(D10:D50)</f>
        <v>0</v>
      </c>
      <c r="E9" s="48">
        <f>SUM(E10:E50)</f>
        <v>14296309</v>
      </c>
      <c r="F9" s="48">
        <f>SUM(F10:F50)</f>
        <v>0</v>
      </c>
      <c r="G9" s="48">
        <f>SUM(G10:G50)</f>
        <v>14296309</v>
      </c>
      <c r="H9" s="48">
        <f>SUM(H10:H50)</f>
        <v>0</v>
      </c>
    </row>
    <row r="10" spans="1:35" ht="24" customHeight="1" x14ac:dyDescent="0.3">
      <c r="A10" s="28">
        <v>1</v>
      </c>
      <c r="B10" s="1471"/>
      <c r="C10" s="33" t="s">
        <v>229</v>
      </c>
      <c r="D10" s="123">
        <v>0</v>
      </c>
      <c r="E10" s="162">
        <f>F10+G10+H10</f>
        <v>0</v>
      </c>
      <c r="F10" s="417">
        <v>0</v>
      </c>
      <c r="G10" s="417">
        <v>0</v>
      </c>
      <c r="H10" s="417">
        <v>0</v>
      </c>
    </row>
    <row r="11" spans="1:35" ht="24" customHeight="1" x14ac:dyDescent="0.3">
      <c r="A11" s="28">
        <v>2</v>
      </c>
      <c r="B11" s="1471"/>
      <c r="C11" s="33" t="s">
        <v>230</v>
      </c>
      <c r="D11" s="123">
        <v>0</v>
      </c>
      <c r="E11" s="162">
        <f t="shared" ref="E11:E36" si="0">F11+G11+H11</f>
        <v>0</v>
      </c>
      <c r="F11" s="417">
        <v>0</v>
      </c>
      <c r="G11" s="417">
        <v>0</v>
      </c>
      <c r="H11" s="417">
        <v>0</v>
      </c>
    </row>
    <row r="12" spans="1:35" s="31" customFormat="1" ht="34.5" customHeight="1" x14ac:dyDescent="0.3">
      <c r="A12" s="28">
        <v>3</v>
      </c>
      <c r="B12" s="1471"/>
      <c r="C12" s="27" t="s">
        <v>231</v>
      </c>
      <c r="D12" s="123">
        <v>0</v>
      </c>
      <c r="E12" s="162">
        <f t="shared" si="0"/>
        <v>0</v>
      </c>
      <c r="F12" s="417">
        <v>0</v>
      </c>
      <c r="G12" s="417">
        <v>0</v>
      </c>
      <c r="H12" s="417">
        <v>0</v>
      </c>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row>
    <row r="13" spans="1:35" ht="37.5" x14ac:dyDescent="0.3">
      <c r="A13" s="28">
        <v>4</v>
      </c>
      <c r="B13" s="1471"/>
      <c r="C13" s="27" t="s">
        <v>232</v>
      </c>
      <c r="D13" s="123">
        <v>0</v>
      </c>
      <c r="E13" s="162">
        <f t="shared" si="0"/>
        <v>0</v>
      </c>
      <c r="F13" s="417">
        <v>0</v>
      </c>
      <c r="G13" s="417">
        <v>0</v>
      </c>
      <c r="H13" s="417">
        <v>0</v>
      </c>
    </row>
    <row r="14" spans="1:35" ht="37.5" x14ac:dyDescent="0.3">
      <c r="A14" s="28">
        <v>5</v>
      </c>
      <c r="B14" s="1471"/>
      <c r="C14" s="27" t="s">
        <v>233</v>
      </c>
      <c r="D14" s="123">
        <v>0</v>
      </c>
      <c r="E14" s="162">
        <f t="shared" si="0"/>
        <v>0</v>
      </c>
      <c r="F14" s="417">
        <v>0</v>
      </c>
      <c r="G14" s="417">
        <v>0</v>
      </c>
      <c r="H14" s="417">
        <v>0</v>
      </c>
    </row>
    <row r="15" spans="1:35" ht="35.1" customHeight="1" x14ac:dyDescent="0.3">
      <c r="A15" s="28">
        <v>6</v>
      </c>
      <c r="B15" s="1471"/>
      <c r="C15" s="27" t="s">
        <v>234</v>
      </c>
      <c r="D15" s="123">
        <v>0</v>
      </c>
      <c r="E15" s="162">
        <f t="shared" si="0"/>
        <v>0</v>
      </c>
      <c r="F15" s="417">
        <v>0</v>
      </c>
      <c r="G15" s="417">
        <v>0</v>
      </c>
      <c r="H15" s="417">
        <v>0</v>
      </c>
    </row>
    <row r="16" spans="1:35" ht="34.5" customHeight="1" x14ac:dyDescent="0.3">
      <c r="A16" s="28">
        <v>7</v>
      </c>
      <c r="B16" s="1471"/>
      <c r="C16" s="27" t="s">
        <v>254</v>
      </c>
      <c r="D16" s="123">
        <v>0</v>
      </c>
      <c r="E16" s="162">
        <f t="shared" si="0"/>
        <v>0</v>
      </c>
      <c r="F16" s="417">
        <v>0</v>
      </c>
      <c r="G16" s="417">
        <v>0</v>
      </c>
      <c r="H16" s="417">
        <v>0</v>
      </c>
    </row>
    <row r="17" spans="1:8" ht="37.5" x14ac:dyDescent="0.3">
      <c r="A17" s="28">
        <v>8</v>
      </c>
      <c r="B17" s="1471"/>
      <c r="C17" s="27" t="s">
        <v>255</v>
      </c>
      <c r="D17" s="123">
        <v>0</v>
      </c>
      <c r="E17" s="162">
        <f t="shared" si="0"/>
        <v>0</v>
      </c>
      <c r="F17" s="417">
        <v>0</v>
      </c>
      <c r="G17" s="417">
        <v>0</v>
      </c>
      <c r="H17" s="417">
        <v>0</v>
      </c>
    </row>
    <row r="18" spans="1:8" ht="79.349999999999994" customHeight="1" x14ac:dyDescent="0.3">
      <c r="A18" s="28">
        <v>9</v>
      </c>
      <c r="B18" s="1471"/>
      <c r="C18" s="27" t="s">
        <v>235</v>
      </c>
      <c r="D18" s="123">
        <v>0</v>
      </c>
      <c r="E18" s="162">
        <f t="shared" si="0"/>
        <v>0</v>
      </c>
      <c r="F18" s="417">
        <v>0</v>
      </c>
      <c r="G18" s="417">
        <v>0</v>
      </c>
      <c r="H18" s="417">
        <v>0</v>
      </c>
    </row>
    <row r="19" spans="1:8" ht="20.100000000000001" customHeight="1" x14ac:dyDescent="0.3">
      <c r="A19" s="28">
        <v>10</v>
      </c>
      <c r="B19" s="1471"/>
      <c r="C19" s="27" t="s">
        <v>236</v>
      </c>
      <c r="D19" s="123">
        <v>0</v>
      </c>
      <c r="E19" s="162">
        <f t="shared" si="0"/>
        <v>0</v>
      </c>
      <c r="F19" s="417">
        <v>0</v>
      </c>
      <c r="G19" s="417">
        <v>0</v>
      </c>
      <c r="H19" s="417">
        <v>0</v>
      </c>
    </row>
    <row r="20" spans="1:8" ht="20.100000000000001" customHeight="1" x14ac:dyDescent="0.3">
      <c r="A20" s="28">
        <v>11</v>
      </c>
      <c r="B20" s="1471"/>
      <c r="C20" s="27" t="s">
        <v>237</v>
      </c>
      <c r="D20" s="123">
        <v>0</v>
      </c>
      <c r="E20" s="162">
        <f t="shared" si="0"/>
        <v>0</v>
      </c>
      <c r="F20" s="417">
        <v>0</v>
      </c>
      <c r="G20" s="417">
        <v>0</v>
      </c>
      <c r="H20" s="417">
        <v>0</v>
      </c>
    </row>
    <row r="21" spans="1:8" ht="20.100000000000001" customHeight="1" x14ac:dyDescent="0.3">
      <c r="A21" s="28">
        <v>12</v>
      </c>
      <c r="B21" s="1471"/>
      <c r="C21" s="27" t="s">
        <v>238</v>
      </c>
      <c r="D21" s="123">
        <v>0</v>
      </c>
      <c r="E21" s="162">
        <f t="shared" si="0"/>
        <v>0</v>
      </c>
      <c r="F21" s="417">
        <v>0</v>
      </c>
      <c r="G21" s="417">
        <v>0</v>
      </c>
      <c r="H21" s="417">
        <v>0</v>
      </c>
    </row>
    <row r="22" spans="1:8" ht="20.100000000000001" customHeight="1" x14ac:dyDescent="0.3">
      <c r="A22" s="28">
        <v>13</v>
      </c>
      <c r="B22" s="1471"/>
      <c r="C22" s="27" t="s">
        <v>239</v>
      </c>
      <c r="D22" s="123">
        <v>0</v>
      </c>
      <c r="E22" s="162">
        <f t="shared" si="0"/>
        <v>0</v>
      </c>
      <c r="F22" s="417">
        <v>0</v>
      </c>
      <c r="G22" s="417">
        <v>0</v>
      </c>
      <c r="H22" s="417">
        <v>0</v>
      </c>
    </row>
    <row r="23" spans="1:8" ht="20.100000000000001" customHeight="1" x14ac:dyDescent="0.3">
      <c r="A23" s="28">
        <v>14</v>
      </c>
      <c r="B23" s="1471"/>
      <c r="C23" s="27" t="s">
        <v>240</v>
      </c>
      <c r="D23" s="123">
        <v>0</v>
      </c>
      <c r="E23" s="162">
        <f t="shared" si="0"/>
        <v>0</v>
      </c>
      <c r="F23" s="417">
        <v>0</v>
      </c>
      <c r="G23" s="417">
        <v>0</v>
      </c>
      <c r="H23" s="417">
        <v>0</v>
      </c>
    </row>
    <row r="24" spans="1:8" ht="20.100000000000001" customHeight="1" x14ac:dyDescent="0.3">
      <c r="A24" s="28">
        <v>15</v>
      </c>
      <c r="B24" s="1471"/>
      <c r="C24" s="27" t="s">
        <v>241</v>
      </c>
      <c r="D24" s="123">
        <v>0</v>
      </c>
      <c r="E24" s="162">
        <f t="shared" si="0"/>
        <v>104142</v>
      </c>
      <c r="F24" s="417">
        <v>0</v>
      </c>
      <c r="G24" s="417">
        <v>104142</v>
      </c>
      <c r="H24" s="417">
        <v>0</v>
      </c>
    </row>
    <row r="25" spans="1:8" ht="57" customHeight="1" x14ac:dyDescent="0.3">
      <c r="A25" s="28">
        <v>16</v>
      </c>
      <c r="B25" s="1471"/>
      <c r="C25" s="27" t="s">
        <v>242</v>
      </c>
      <c r="D25" s="123">
        <v>0</v>
      </c>
      <c r="E25" s="162">
        <f t="shared" si="0"/>
        <v>0</v>
      </c>
      <c r="F25" s="417">
        <v>0</v>
      </c>
      <c r="G25" s="417">
        <v>0</v>
      </c>
      <c r="H25" s="417">
        <v>0</v>
      </c>
    </row>
    <row r="26" spans="1:8" ht="37.5" x14ac:dyDescent="0.3">
      <c r="A26" s="28">
        <v>17</v>
      </c>
      <c r="B26" s="1471"/>
      <c r="C26" s="32" t="s">
        <v>243</v>
      </c>
      <c r="D26" s="123">
        <v>0</v>
      </c>
      <c r="E26" s="162">
        <f t="shared" si="0"/>
        <v>0</v>
      </c>
      <c r="F26" s="417">
        <v>0</v>
      </c>
      <c r="G26" s="417">
        <v>0</v>
      </c>
      <c r="H26" s="417">
        <v>0</v>
      </c>
    </row>
    <row r="27" spans="1:8" ht="37.5" x14ac:dyDescent="0.3">
      <c r="A27" s="28">
        <v>18</v>
      </c>
      <c r="B27" s="1471"/>
      <c r="C27" s="32" t="s">
        <v>244</v>
      </c>
      <c r="D27" s="123">
        <v>0</v>
      </c>
      <c r="E27" s="162">
        <f t="shared" si="0"/>
        <v>0</v>
      </c>
      <c r="F27" s="417">
        <v>0</v>
      </c>
      <c r="G27" s="417">
        <v>0</v>
      </c>
      <c r="H27" s="417">
        <v>0</v>
      </c>
    </row>
    <row r="28" spans="1:8" ht="26.1" customHeight="1" x14ac:dyDescent="0.3">
      <c r="A28" s="28">
        <v>19</v>
      </c>
      <c r="B28" s="1471"/>
      <c r="C28" s="32" t="s">
        <v>245</v>
      </c>
      <c r="D28" s="123">
        <v>0</v>
      </c>
      <c r="E28" s="162">
        <f t="shared" si="0"/>
        <v>0</v>
      </c>
      <c r="F28" s="417">
        <v>0</v>
      </c>
      <c r="G28" s="417">
        <v>0</v>
      </c>
      <c r="H28" s="417">
        <v>0</v>
      </c>
    </row>
    <row r="29" spans="1:8" ht="57" customHeight="1" x14ac:dyDescent="0.3">
      <c r="A29" s="28">
        <v>20</v>
      </c>
      <c r="B29" s="1471"/>
      <c r="C29" s="32" t="s">
        <v>246</v>
      </c>
      <c r="D29" s="123">
        <v>0</v>
      </c>
      <c r="E29" s="162">
        <f t="shared" si="0"/>
        <v>11702762</v>
      </c>
      <c r="F29" s="417">
        <v>0</v>
      </c>
      <c r="G29" s="417">
        <v>11702762</v>
      </c>
      <c r="H29" s="417">
        <v>0</v>
      </c>
    </row>
    <row r="30" spans="1:8" ht="26.1" customHeight="1" x14ac:dyDescent="0.3">
      <c r="A30" s="28">
        <v>21</v>
      </c>
      <c r="B30" s="1471"/>
      <c r="C30" s="32" t="s">
        <v>247</v>
      </c>
      <c r="D30" s="123">
        <v>0</v>
      </c>
      <c r="E30" s="162">
        <f t="shared" si="0"/>
        <v>33334</v>
      </c>
      <c r="F30" s="417">
        <v>0</v>
      </c>
      <c r="G30" s="417">
        <v>33334</v>
      </c>
      <c r="H30" s="417">
        <v>0</v>
      </c>
    </row>
    <row r="31" spans="1:8" ht="72.599999999999994" customHeight="1" x14ac:dyDescent="0.3">
      <c r="A31" s="28">
        <v>22</v>
      </c>
      <c r="B31" s="1471"/>
      <c r="C31" s="32" t="s">
        <v>248</v>
      </c>
      <c r="D31" s="123">
        <v>0</v>
      </c>
      <c r="E31" s="162">
        <f t="shared" si="0"/>
        <v>5451</v>
      </c>
      <c r="F31" s="417">
        <v>0</v>
      </c>
      <c r="G31" s="417">
        <v>5451</v>
      </c>
      <c r="H31" s="417">
        <v>0</v>
      </c>
    </row>
    <row r="32" spans="1:8" ht="36" customHeight="1" x14ac:dyDescent="0.3">
      <c r="A32" s="28">
        <v>23</v>
      </c>
      <c r="B32" s="1471"/>
      <c r="C32" s="32" t="s">
        <v>249</v>
      </c>
      <c r="D32" s="123">
        <v>0</v>
      </c>
      <c r="E32" s="162">
        <f t="shared" si="0"/>
        <v>0</v>
      </c>
      <c r="F32" s="417">
        <v>0</v>
      </c>
      <c r="G32" s="417">
        <v>0</v>
      </c>
      <c r="H32" s="417">
        <v>0</v>
      </c>
    </row>
    <row r="33" spans="1:10" ht="36" customHeight="1" x14ac:dyDescent="0.3">
      <c r="A33" s="28">
        <v>24</v>
      </c>
      <c r="B33" s="1471"/>
      <c r="C33" s="32" t="s">
        <v>250</v>
      </c>
      <c r="D33" s="123">
        <v>0</v>
      </c>
      <c r="E33" s="162">
        <f t="shared" si="0"/>
        <v>0</v>
      </c>
      <c r="F33" s="417">
        <v>0</v>
      </c>
      <c r="G33" s="417">
        <v>0</v>
      </c>
      <c r="H33" s="417">
        <v>0</v>
      </c>
    </row>
    <row r="34" spans="1:10" ht="54" customHeight="1" x14ac:dyDescent="0.3">
      <c r="A34" s="28">
        <v>25</v>
      </c>
      <c r="B34" s="1471"/>
      <c r="C34" s="32" t="s">
        <v>251</v>
      </c>
      <c r="D34" s="123">
        <v>0</v>
      </c>
      <c r="E34" s="162">
        <f t="shared" si="0"/>
        <v>0</v>
      </c>
      <c r="F34" s="417">
        <v>0</v>
      </c>
      <c r="G34" s="417">
        <v>0</v>
      </c>
      <c r="H34" s="417">
        <v>0</v>
      </c>
    </row>
    <row r="35" spans="1:10" ht="37.5" x14ac:dyDescent="0.3">
      <c r="A35" s="28">
        <v>26</v>
      </c>
      <c r="B35" s="1471"/>
      <c r="C35" s="32" t="s">
        <v>252</v>
      </c>
      <c r="D35" s="123">
        <v>0</v>
      </c>
      <c r="E35" s="162">
        <f t="shared" si="0"/>
        <v>0</v>
      </c>
      <c r="F35" s="417">
        <v>0</v>
      </c>
      <c r="G35" s="417">
        <v>0</v>
      </c>
      <c r="H35" s="417">
        <v>0</v>
      </c>
    </row>
    <row r="36" spans="1:10" ht="50.65" customHeight="1" x14ac:dyDescent="0.3">
      <c r="A36" s="28">
        <v>27</v>
      </c>
      <c r="B36" s="1471"/>
      <c r="C36" s="32" t="s">
        <v>253</v>
      </c>
      <c r="D36" s="123">
        <v>0</v>
      </c>
      <c r="E36" s="162">
        <f t="shared" si="0"/>
        <v>0</v>
      </c>
      <c r="F36" s="417">
        <v>0</v>
      </c>
      <c r="G36" s="417">
        <v>0</v>
      </c>
      <c r="H36" s="417">
        <v>0</v>
      </c>
    </row>
    <row r="37" spans="1:10" ht="95.65" customHeight="1" x14ac:dyDescent="0.3">
      <c r="A37" s="28">
        <v>28</v>
      </c>
      <c r="B37" s="1471"/>
      <c r="C37" s="1413" t="s">
        <v>437</v>
      </c>
      <c r="D37" s="417">
        <v>0</v>
      </c>
      <c r="E37" s="162">
        <f t="shared" ref="E37:E50" si="1">F37+G37+H37</f>
        <v>0</v>
      </c>
      <c r="F37" s="417">
        <v>0</v>
      </c>
      <c r="G37" s="417">
        <v>0</v>
      </c>
      <c r="H37" s="417">
        <v>0</v>
      </c>
    </row>
    <row r="38" spans="1:10" ht="99" customHeight="1" x14ac:dyDescent="0.3">
      <c r="A38" s="28">
        <v>29</v>
      </c>
      <c r="B38" s="1471"/>
      <c r="C38" s="1413" t="s">
        <v>438</v>
      </c>
      <c r="D38" s="417">
        <v>0</v>
      </c>
      <c r="E38" s="162">
        <f t="shared" si="1"/>
        <v>0</v>
      </c>
      <c r="F38" s="417">
        <v>0</v>
      </c>
      <c r="G38" s="417">
        <v>0</v>
      </c>
      <c r="H38" s="417">
        <v>0</v>
      </c>
    </row>
    <row r="39" spans="1:10" ht="75" x14ac:dyDescent="0.3">
      <c r="A39" s="28">
        <v>30</v>
      </c>
      <c r="B39" s="1471"/>
      <c r="C39" s="1413" t="s">
        <v>439</v>
      </c>
      <c r="D39" s="417">
        <v>0</v>
      </c>
      <c r="E39" s="162">
        <f t="shared" si="1"/>
        <v>0</v>
      </c>
      <c r="F39" s="417">
        <v>0</v>
      </c>
      <c r="G39" s="417">
        <v>0</v>
      </c>
      <c r="H39" s="417">
        <v>0</v>
      </c>
    </row>
    <row r="40" spans="1:10" ht="60.6" customHeight="1" x14ac:dyDescent="0.3">
      <c r="A40" s="28">
        <v>31</v>
      </c>
      <c r="B40" s="1471"/>
      <c r="C40" s="32" t="s">
        <v>436</v>
      </c>
      <c r="D40" s="417">
        <v>0</v>
      </c>
      <c r="E40" s="162">
        <f t="shared" si="1"/>
        <v>0</v>
      </c>
      <c r="F40" s="417">
        <v>0</v>
      </c>
      <c r="G40" s="417">
        <v>0</v>
      </c>
      <c r="H40" s="417">
        <v>0</v>
      </c>
    </row>
    <row r="41" spans="1:10" ht="83.45" customHeight="1" x14ac:dyDescent="0.3">
      <c r="A41" s="28">
        <v>32</v>
      </c>
      <c r="B41" s="1471"/>
      <c r="C41" s="1413" t="s">
        <v>731</v>
      </c>
      <c r="D41" s="417">
        <v>0</v>
      </c>
      <c r="E41" s="162">
        <f t="shared" si="1"/>
        <v>2450620</v>
      </c>
      <c r="F41" s="417">
        <v>0</v>
      </c>
      <c r="G41" s="417">
        <v>2450620</v>
      </c>
      <c r="H41" s="417">
        <v>0</v>
      </c>
      <c r="J41" s="347"/>
    </row>
    <row r="42" spans="1:10" ht="66" customHeight="1" x14ac:dyDescent="0.3">
      <c r="A42" s="28">
        <v>33</v>
      </c>
      <c r="B42" s="1471"/>
      <c r="C42" s="32" t="s">
        <v>732</v>
      </c>
      <c r="D42" s="123">
        <v>0</v>
      </c>
      <c r="E42" s="162">
        <f t="shared" si="1"/>
        <v>0</v>
      </c>
      <c r="F42" s="417">
        <v>0</v>
      </c>
      <c r="G42" s="417">
        <v>0</v>
      </c>
      <c r="H42" s="417">
        <v>0</v>
      </c>
    </row>
    <row r="43" spans="1:10" ht="26.25" customHeight="1" x14ac:dyDescent="0.3">
      <c r="A43" s="28">
        <v>34</v>
      </c>
      <c r="B43" s="1471"/>
      <c r="C43" s="1434" t="s">
        <v>1655</v>
      </c>
      <c r="D43" s="417">
        <v>0</v>
      </c>
      <c r="E43" s="162">
        <f t="shared" si="1"/>
        <v>0</v>
      </c>
      <c r="F43" s="417">
        <v>0</v>
      </c>
      <c r="G43" s="417">
        <v>0</v>
      </c>
      <c r="H43" s="417">
        <v>0</v>
      </c>
    </row>
    <row r="44" spans="1:10" ht="33.75" customHeight="1" x14ac:dyDescent="0.3">
      <c r="A44" s="28">
        <v>35</v>
      </c>
      <c r="B44" s="1471"/>
      <c r="C44" s="1434" t="s">
        <v>1656</v>
      </c>
      <c r="D44" s="417">
        <v>0</v>
      </c>
      <c r="E44" s="162">
        <f t="shared" si="1"/>
        <v>0</v>
      </c>
      <c r="F44" s="417">
        <v>0</v>
      </c>
      <c r="G44" s="417">
        <v>0</v>
      </c>
      <c r="H44" s="417">
        <v>0</v>
      </c>
    </row>
    <row r="45" spans="1:10" ht="37.5" x14ac:dyDescent="0.3">
      <c r="A45" s="28">
        <v>36</v>
      </c>
      <c r="B45" s="1471"/>
      <c r="C45" s="1439" t="s">
        <v>1657</v>
      </c>
      <c r="D45" s="417">
        <v>0</v>
      </c>
      <c r="E45" s="162">
        <f t="shared" si="1"/>
        <v>0</v>
      </c>
      <c r="F45" s="417">
        <v>0</v>
      </c>
      <c r="G45" s="417">
        <v>0</v>
      </c>
      <c r="H45" s="417">
        <v>0</v>
      </c>
    </row>
    <row r="46" spans="1:10" ht="56.25" x14ac:dyDescent="0.3">
      <c r="A46" s="28">
        <v>37</v>
      </c>
      <c r="B46" s="1471"/>
      <c r="C46" s="1434" t="s">
        <v>1658</v>
      </c>
      <c r="D46" s="417">
        <v>0</v>
      </c>
      <c r="E46" s="162">
        <f t="shared" si="1"/>
        <v>0</v>
      </c>
      <c r="F46" s="417">
        <v>0</v>
      </c>
      <c r="G46" s="417">
        <v>0</v>
      </c>
      <c r="H46" s="417">
        <v>0</v>
      </c>
    </row>
    <row r="47" spans="1:10" ht="52.5" customHeight="1" x14ac:dyDescent="0.3">
      <c r="A47" s="28">
        <v>38</v>
      </c>
      <c r="B47" s="1471"/>
      <c r="C47" s="1434" t="s">
        <v>1659</v>
      </c>
      <c r="D47" s="417">
        <v>0</v>
      </c>
      <c r="E47" s="162">
        <f t="shared" si="1"/>
        <v>0</v>
      </c>
      <c r="F47" s="417">
        <v>0</v>
      </c>
      <c r="G47" s="417">
        <v>0</v>
      </c>
      <c r="H47" s="417">
        <v>0</v>
      </c>
    </row>
    <row r="48" spans="1:10" ht="63" customHeight="1" x14ac:dyDescent="0.3">
      <c r="A48" s="28">
        <v>39</v>
      </c>
      <c r="B48" s="1471"/>
      <c r="C48" s="1434" t="s">
        <v>1660</v>
      </c>
      <c r="D48" s="417">
        <v>0</v>
      </c>
      <c r="E48" s="162">
        <f t="shared" si="1"/>
        <v>0</v>
      </c>
      <c r="F48" s="417">
        <v>0</v>
      </c>
      <c r="G48" s="417">
        <v>0</v>
      </c>
      <c r="H48" s="417">
        <v>0</v>
      </c>
    </row>
    <row r="49" spans="1:8" ht="56.25" x14ac:dyDescent="0.3">
      <c r="A49" s="28">
        <v>40</v>
      </c>
      <c r="B49" s="1471"/>
      <c r="C49" s="1434" t="s">
        <v>1661</v>
      </c>
      <c r="D49" s="417">
        <v>0</v>
      </c>
      <c r="E49" s="162">
        <f t="shared" si="1"/>
        <v>0</v>
      </c>
      <c r="F49" s="417">
        <v>0</v>
      </c>
      <c r="G49" s="417">
        <v>0</v>
      </c>
      <c r="H49" s="417">
        <v>0</v>
      </c>
    </row>
    <row r="50" spans="1:8" ht="18.75" x14ac:dyDescent="0.3">
      <c r="A50" s="28">
        <v>41</v>
      </c>
      <c r="B50" s="1471"/>
      <c r="C50" s="1434" t="s">
        <v>1662</v>
      </c>
      <c r="D50" s="417">
        <v>0</v>
      </c>
      <c r="E50" s="162">
        <f t="shared" si="1"/>
        <v>0</v>
      </c>
      <c r="F50" s="417">
        <v>0</v>
      </c>
      <c r="G50" s="417">
        <v>0</v>
      </c>
      <c r="H50" s="417">
        <v>0</v>
      </c>
    </row>
  </sheetData>
  <sheetProtection password="FB6B" sheet="1" formatCells="0" formatColumns="0" formatRows="0"/>
  <mergeCells count="11">
    <mergeCell ref="H5:H7"/>
    <mergeCell ref="E5:E7"/>
    <mergeCell ref="C5:C7"/>
    <mergeCell ref="D5:D7"/>
    <mergeCell ref="D1:E1"/>
    <mergeCell ref="F1:G1"/>
    <mergeCell ref="F2:H2"/>
    <mergeCell ref="A3:H3"/>
    <mergeCell ref="A5:A7"/>
    <mergeCell ref="F5:F7"/>
    <mergeCell ref="G5:G7"/>
  </mergeCells>
  <dataValidations count="2">
    <dataValidation type="decimal" operator="greaterThanOrEqual" showInputMessage="1" showErrorMessage="1" error="Будь ласка, вкажіть додатнє число." sqref="D9:G50 H9">
      <formula1>0</formula1>
    </dataValidation>
    <dataValidation type="decimal" operator="lessThanOrEqual" showInputMessage="1" showErrorMessage="1" error="Будь ласка, вкажіть від’ємне число." sqref="H10:H50">
      <formula1>0</formula1>
    </dataValidation>
  </dataValidations>
  <pageMargins left="0.11811023622047245" right="0.11811023622047245" top="0.15748031496062992" bottom="0.15748031496062992" header="0.31496062992125984" footer="0.31496062992125984"/>
  <pageSetup paperSize="9" scale="57"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4</vt:i4>
      </vt:variant>
    </vt:vector>
  </HeadingPairs>
  <TitlesOfParts>
    <vt:vector size="23" baseType="lpstr">
      <vt:lpstr>Hidden</vt:lpstr>
      <vt:lpstr>ранжув рік</vt:lpstr>
      <vt:lpstr>Валідація</vt:lpstr>
      <vt:lpstr>Звіт 1,2,3</vt:lpstr>
      <vt:lpstr>Звіт   4,5,6</vt:lpstr>
      <vt:lpstr>Звіт  7,8</vt:lpstr>
      <vt:lpstr>Звіт   9</vt:lpstr>
      <vt:lpstr>Звіт 10, 11,12,13,14</vt:lpstr>
      <vt:lpstr>Дод_Надходж ПМГ </vt:lpstr>
      <vt:lpstr>Дод_Доходи ПМГ </vt:lpstr>
      <vt:lpstr>Аналіз</vt:lpstr>
      <vt:lpstr>ТБД 1,2,3</vt:lpstr>
      <vt:lpstr>ТБД 5 та 4</vt:lpstr>
      <vt:lpstr>ТБД 5.1.</vt:lpstr>
      <vt:lpstr>ТБД ВОП</vt:lpstr>
      <vt:lpstr>ТБД Кров та її компоненти</vt:lpstr>
      <vt:lpstr>ТБД 12,13</vt:lpstr>
      <vt:lpstr>ТБД Баланс</vt:lpstr>
      <vt:lpstr>ТБД ФР</vt:lpstr>
      <vt:lpstr>'Дод_Доходи ПМГ '!Заголовки_для_печати</vt:lpstr>
      <vt:lpstr>'Дод_Надходж ПМГ '!Заголовки_для_печати</vt:lpstr>
      <vt:lpstr>'Дод_Доходи ПМГ '!Область_печати</vt:lpstr>
      <vt:lpstr>'Звіт   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Загрядська Олена Валеріївна</dc:creator>
  <cp:lastModifiedBy>puzyna</cp:lastModifiedBy>
  <cp:lastPrinted>2020-12-18T12:13:52Z</cp:lastPrinted>
  <dcterms:created xsi:type="dcterms:W3CDTF">2020-03-06T08:04:17Z</dcterms:created>
  <dcterms:modified xsi:type="dcterms:W3CDTF">2021-08-12T07:42:30Z</dcterms:modified>
</cp:coreProperties>
</file>